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7_tabele\PTW\"/>
    </mc:Choice>
  </mc:AlternateContent>
  <xr:revisionPtr revIDLastSave="0" documentId="13_ncr:1_{B4DC033A-3F0B-4827-AF9E-08C29FC2BDE4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9" l="1"/>
  <c r="H25" i="19" l="1"/>
  <c r="H31" i="19" s="1"/>
  <c r="H26" i="19"/>
  <c r="H30" i="19" s="1"/>
  <c r="H27" i="19"/>
  <c r="H28" i="19"/>
  <c r="H29" i="19"/>
  <c r="H13" i="19"/>
  <c r="H14" i="19"/>
  <c r="H15" i="19"/>
  <c r="H16" i="19"/>
  <c r="H12" i="19"/>
  <c r="H11" i="19"/>
  <c r="H10" i="19"/>
  <c r="H5" i="25"/>
  <c r="H6" i="25"/>
  <c r="H7" i="25"/>
  <c r="H10" i="17"/>
  <c r="H17" i="28"/>
  <c r="F9" i="9"/>
  <c r="G9" i="9"/>
  <c r="H7" i="24"/>
  <c r="H6" i="24"/>
  <c r="H5" i="24"/>
  <c r="H7" i="16"/>
  <c r="H6" i="16"/>
  <c r="H5" i="16"/>
  <c r="G10" i="17" l="1"/>
  <c r="F10" i="17"/>
  <c r="B14" i="17"/>
  <c r="B21" i="19" l="1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E23" i="19" s="1"/>
  <c r="F22" i="19"/>
  <c r="N22" i="19" s="1"/>
  <c r="G22" i="19"/>
  <c r="G23" i="19" s="1"/>
  <c r="H22" i="19"/>
  <c r="H23" i="19" s="1"/>
  <c r="I22" i="19"/>
  <c r="I23" i="19" s="1"/>
  <c r="J22" i="19"/>
  <c r="K22" i="19"/>
  <c r="L22" i="19"/>
  <c r="M22" i="19"/>
  <c r="M23" i="19" s="1"/>
  <c r="B23" i="19"/>
  <c r="C23" i="19"/>
  <c r="D23" i="19"/>
  <c r="J23" i="19"/>
  <c r="K23" i="19"/>
  <c r="L23" i="19"/>
  <c r="B25" i="19"/>
  <c r="N25" i="19" s="1"/>
  <c r="C25" i="19"/>
  <c r="D25" i="19"/>
  <c r="D29" i="19" s="1"/>
  <c r="E25" i="19"/>
  <c r="F25" i="19"/>
  <c r="F31" i="19" s="1"/>
  <c r="G25" i="19"/>
  <c r="G29" i="19" s="1"/>
  <c r="B26" i="19"/>
  <c r="B27" i="19" s="1"/>
  <c r="C26" i="19"/>
  <c r="C27" i="19" s="1"/>
  <c r="D26" i="19"/>
  <c r="E26" i="19"/>
  <c r="E27" i="19" s="1"/>
  <c r="F26" i="19"/>
  <c r="F27" i="19" s="1"/>
  <c r="G26" i="19"/>
  <c r="G27" i="19" s="1"/>
  <c r="G28" i="19" s="1"/>
  <c r="N26" i="19"/>
  <c r="N30" i="19" s="1"/>
  <c r="B29" i="19"/>
  <c r="C29" i="19"/>
  <c r="B30" i="19"/>
  <c r="C30" i="19"/>
  <c r="D30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F6" i="25"/>
  <c r="G6" i="25"/>
  <c r="F7" i="25"/>
  <c r="G7" i="25"/>
  <c r="L42" i="28"/>
  <c r="M42" i="28"/>
  <c r="F10" i="9"/>
  <c r="G10" i="9"/>
  <c r="F7" i="24"/>
  <c r="G7" i="24"/>
  <c r="F6" i="24"/>
  <c r="G6" i="24"/>
  <c r="F5" i="24"/>
  <c r="G5" i="24"/>
  <c r="E9" i="16"/>
  <c r="F7" i="16"/>
  <c r="G7" i="16"/>
  <c r="F6" i="16"/>
  <c r="G6" i="16"/>
  <c r="F5" i="16"/>
  <c r="G5" i="16"/>
  <c r="B28" i="19" l="1"/>
  <c r="B31" i="19"/>
  <c r="N27" i="19"/>
  <c r="F28" i="19"/>
  <c r="N23" i="19"/>
  <c r="E31" i="19"/>
  <c r="E28" i="19"/>
  <c r="N29" i="19"/>
  <c r="C31" i="19"/>
  <c r="C28" i="19"/>
  <c r="G30" i="19"/>
  <c r="F29" i="19"/>
  <c r="D27" i="19"/>
  <c r="G31" i="19"/>
  <c r="F30" i="19"/>
  <c r="E29" i="19"/>
  <c r="F23" i="19"/>
  <c r="E30" i="19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D5" i="25"/>
  <c r="D7" i="25" s="1"/>
  <c r="E4" i="25"/>
  <c r="D4" i="25"/>
  <c r="C4" i="25"/>
  <c r="B4" i="25"/>
  <c r="E3" i="25"/>
  <c r="E5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U47" i="28"/>
  <c r="T47" i="28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N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O3" i="24" s="1"/>
  <c r="N4" i="24"/>
  <c r="N3" i="24"/>
  <c r="E11" i="24" s="1"/>
  <c r="F12" i="16"/>
  <c r="C12" i="16"/>
  <c r="B12" i="16"/>
  <c r="F11" i="16"/>
  <c r="C11" i="16"/>
  <c r="B11" i="16"/>
  <c r="D7" i="16"/>
  <c r="E6" i="16"/>
  <c r="E5" i="16"/>
  <c r="E7" i="16" s="1"/>
  <c r="D5" i="16"/>
  <c r="D6" i="16" s="1"/>
  <c r="C5" i="16"/>
  <c r="C6" i="16" s="1"/>
  <c r="B5" i="16"/>
  <c r="B6" i="16" s="1"/>
  <c r="N4" i="16"/>
  <c r="E12" i="16" s="1"/>
  <c r="N3" i="16"/>
  <c r="E11" i="16" s="1"/>
  <c r="O4" i="24" l="1"/>
  <c r="N28" i="19"/>
  <c r="N31" i="19"/>
  <c r="D28" i="19"/>
  <c r="D31" i="19"/>
  <c r="H16" i="27"/>
  <c r="E12" i="24"/>
  <c r="E13" i="24" s="1"/>
  <c r="B41" i="19"/>
  <c r="E41" i="19" s="1"/>
  <c r="E13" i="16"/>
  <c r="E7" i="25"/>
  <c r="E6" i="25"/>
  <c r="D10" i="17"/>
  <c r="D48" i="17"/>
  <c r="B15" i="19"/>
  <c r="C12" i="19"/>
  <c r="C13" i="19" s="1"/>
  <c r="C15" i="19"/>
  <c r="C16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N8" i="19" s="1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G12" i="24" l="1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N12" i="19"/>
  <c r="N13" i="19" s="1"/>
  <c r="B6" i="25"/>
  <c r="N5" i="25"/>
  <c r="O4" i="25" s="1"/>
  <c r="B7" i="25"/>
  <c r="E43" i="19"/>
  <c r="C6" i="25"/>
  <c r="D6" i="25"/>
  <c r="C7" i="25"/>
  <c r="E11" i="25"/>
  <c r="B16" i="19"/>
  <c r="E12" i="19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C14" i="17" l="1"/>
  <c r="D14" i="17" s="1"/>
  <c r="N16" i="19"/>
  <c r="E13" i="25"/>
  <c r="G11" i="25"/>
  <c r="G13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<sst xmlns="http://schemas.openxmlformats.org/spreadsheetml/2006/main" count="413" uniqueCount="158">
  <si>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</si>
  <si>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</si>
  <si>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</si>
  <si>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</si>
  <si>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</si>
  <si>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</si>
  <si>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</si>
  <si>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</si>
  <si>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</si>
  <si>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</si>
  <si>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</si>
  <si>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</si>
  <si>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</si>
  <si>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</si>
  <si>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</si>
  <si>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</si>
  <si>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</si>
  <si>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</si>
  <si>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</si>
  <si>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</si>
  <si>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</si>
  <si>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</si>
  <si>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</si>
  <si>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</si>
  <si>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</si>
  <si>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</si>
  <si>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</si>
  <si>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</si>
  <si>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</si>
  <si>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</si>
  <si>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</si>
  <si>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</si>
  <si>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</si>
  <si>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</si>
  <si>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</si>
  <si>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</si>
  <si>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</si>
  <si>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</si>
  <si>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</si>
  <si>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</si>
  <si>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</si>
  <si>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</si>
  <si>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</si>
  <si>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</si>
  <si>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</si>
  <si>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</si>
  <si>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</si>
  <si>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</si>
  <si>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</si>
  <si>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</si>
  <si>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</si>
  <si>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</si>
  <si>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</si>
  <si>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</si>
  <si>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</si>
  <si>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</si>
  <si>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</si>
  <si>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</si>
  <si>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</si>
  <si>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</si>
  <si>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</si>
  <si>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</si>
  <si>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</si>
  <si>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</si>
  <si>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</si>
  <si>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</si>
  <si>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</si>
  <si>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</si>
  <si>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</si>
  <si>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</si>
  <si>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</si>
  <si>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</si>
  <si>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</si>
  <si>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</si>
  <si>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</si>
  <si>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</si>
  <si>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</si>
  <si>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</si>
  <si>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</si>
  <si>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</si>
  <si>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</si>
  <si>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</si>
  <si>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</si>
  <si>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</si>
  <si>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</si>
  <si>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</si>
  <si>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</si>
  <si>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</si>
  <si>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</si>
  <si>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</si>
  <si>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</si>
  <si>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</si>
  <si>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</si>
  <si>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</si>
  <si>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</si>
  <si>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</si>
  <si>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</si>
  <si>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</si>
  <si>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</si>
  <si>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</si>
  <si>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</si>
  <si>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</si>
  <si>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</si>
  <si>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</si>
  <si>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</si>
  <si>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</si>
  <si>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</si>
  <si>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</si>
  <si>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</si>
  <si>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</si>
  <si>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</si>
  <si>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</si>
  <si>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</si>
  <si>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</si>
  <si>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</si>
  <si>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</si>
  <si>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</si>
  <si>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</si>
  <si>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</si>
  <si>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</si>
  <si>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</si>
  <si>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</si>
  <si>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</si>
  <si>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</si>
  <si>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</si>
  <si>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</si>
  <si>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</si>
  <si>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</si>
  <si>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</si>
  <si>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</si>
  <si>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</si>
  <si>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</si>
  <si>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</si>
  <si>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</si>
  <si>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</si>
  <si>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</si>
  <si>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</si>
  <si>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</si>
  <si>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</si>
  <si>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</si>
  <si>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</si>
  <si>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</si>
  <si>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</si>
  <si>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</si>
  <si>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</si>
  <si>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</si>
  <si>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</si>
  <si>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</si>
  <si>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</si>
  <si>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</si>
  <si>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</si>
  <si>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GAS GAS</t>
  </si>
  <si>
    <t>SUPER SOCO</t>
  </si>
  <si>
    <t>EFUN</t>
  </si>
  <si>
    <t>HARLEY-DAVIDSON</t>
  </si>
  <si>
    <t>REJESTRACJE - PZPM na podstawie danych Centralnej Ewidencji Pojazdów. LIPIEC 2022</t>
  </si>
  <si>
    <t>LIPIEC</t>
  </si>
  <si>
    <t>Styczeń-Lipiec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</si>
</sst>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2" fillId="3" borderId="0" applyNumberFormat="0" applyBorder="0" applyAlignment="0" applyProtection="0"/>
    <xf numFmtId="0" fontId="27" fillId="20" borderId="1" applyNumberFormat="0" applyAlignment="0" applyProtection="0"/>
    <xf numFmtId="0" fontId="22" fillId="21" borderId="2" applyNumberFormat="0" applyAlignment="0" applyProtection="0"/>
    <xf numFmtId="0" fontId="18" fillId="7" borderId="1" applyNumberFormat="0" applyAlignment="0" applyProtection="0"/>
    <xf numFmtId="0" fontId="19" fillId="20" borderId="3" applyNumberFormat="0" applyAlignment="0" applyProtection="0"/>
    <xf numFmtId="0" fontId="20" fillId="4" borderId="0" applyNumberFormat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21" fillId="0" borderId="7" applyNumberFormat="0" applyFill="0" applyAlignment="0" applyProtection="0"/>
    <xf numFmtId="0" fontId="22" fillId="21" borderId="2" applyNumberFormat="0" applyAlignment="0" applyProtection="0"/>
    <xf numFmtId="0" fontId="21" fillId="0" borderId="7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4" fillId="23" borderId="8" applyNumberFormat="0" applyFont="0" applyAlignment="0" applyProtection="0"/>
    <xf numFmtId="0" fontId="27" fillId="20" borderId="1" applyNumberFormat="0" applyAlignment="0" applyProtection="0"/>
    <xf numFmtId="0" fontId="19" fillId="20" borderId="3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237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8" fillId="24" borderId="10" xfId="0" applyFont="1" applyFill="1" applyBorder="1"/>
    <xf numFmtId="0" fontId="0" fillId="0" borderId="0" xfId="0" applyAlignment="1">
      <alignment vertical="center"/>
    </xf>
    <xf numFmtId="0" fontId="6" fillId="0" borderId="0" xfId="63" quotePrefix="1" applyAlignment="1" applyProtection="1"/>
    <xf numFmtId="0" fontId="10" fillId="0" borderId="0" xfId="0" applyFont="1"/>
    <xf numFmtId="0" fontId="10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4" fillId="0" borderId="0" xfId="81" applyNumberFormat="1"/>
    <xf numFmtId="0" fontId="9" fillId="0" borderId="10" xfId="0" applyFont="1" applyBorder="1"/>
    <xf numFmtId="0" fontId="9" fillId="0" borderId="15" xfId="0" applyFont="1" applyBorder="1"/>
    <xf numFmtId="165" fontId="9" fillId="0" borderId="14" xfId="81" applyNumberFormat="1" applyFont="1" applyBorder="1"/>
    <xf numFmtId="0" fontId="9" fillId="0" borderId="0" xfId="0" applyFont="1"/>
    <xf numFmtId="166" fontId="12" fillId="0" borderId="10" xfId="55" applyNumberFormat="1" applyFont="1" applyBorder="1" applyAlignment="1">
      <alignment wrapText="1"/>
    </xf>
    <xf numFmtId="166" fontId="4" fillId="0" borderId="0" xfId="55" applyNumberFormat="1"/>
    <xf numFmtId="3" fontId="0" fillId="0" borderId="0" xfId="0" applyNumberFormat="1"/>
    <xf numFmtId="166" fontId="0" fillId="0" borderId="0" xfId="0" applyNumberFormat="1"/>
    <xf numFmtId="165" fontId="12" fillId="0" borderId="10" xfId="81" applyNumberFormat="1" applyFont="1" applyBorder="1" applyAlignment="1">
      <alignment horizontal="right" wrapText="1"/>
    </xf>
    <xf numFmtId="166" fontId="4" fillId="0" borderId="10" xfId="55" applyNumberFormat="1" applyBorder="1"/>
    <xf numFmtId="166" fontId="12" fillId="0" borderId="17" xfId="55" applyNumberFormat="1" applyFont="1" applyBorder="1" applyAlignment="1">
      <alignment horizontal="center"/>
    </xf>
    <xf numFmtId="166" fontId="12" fillId="0" borderId="10" xfId="55" applyNumberFormat="1" applyFont="1" applyBorder="1" applyAlignment="1">
      <alignment horizontal="center"/>
    </xf>
    <xf numFmtId="10" fontId="9" fillId="0" borderId="18" xfId="81" applyNumberFormat="1" applyFont="1" applyBorder="1"/>
    <xf numFmtId="166" fontId="9" fillId="0" borderId="18" xfId="0" applyNumberFormat="1" applyFont="1" applyBorder="1"/>
    <xf numFmtId="165" fontId="9" fillId="0" borderId="10" xfId="81" applyNumberFormat="1" applyFont="1" applyBorder="1"/>
    <xf numFmtId="0" fontId="0" fillId="24" borderId="10" xfId="0" applyFill="1" applyBorder="1"/>
    <xf numFmtId="166" fontId="8" fillId="24" borderId="10" xfId="55" applyNumberFormat="1" applyFont="1" applyFill="1" applyBorder="1" applyAlignment="1">
      <alignment wrapText="1"/>
    </xf>
    <xf numFmtId="165" fontId="4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4" fillId="0" borderId="0" xfId="0" applyFont="1"/>
    <xf numFmtId="165" fontId="4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9" fillId="0" borderId="0" xfId="81" applyNumberFormat="1" applyFont="1"/>
    <xf numFmtId="0" fontId="11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3" fillId="0" borderId="0" xfId="81" applyNumberFormat="1" applyFont="1" applyAlignment="1">
      <alignment shrinkToFit="1"/>
    </xf>
    <xf numFmtId="166" fontId="12" fillId="0" borderId="19" xfId="55" applyNumberFormat="1" applyFont="1" applyBorder="1" applyAlignment="1">
      <alignment wrapText="1"/>
    </xf>
    <xf numFmtId="166" fontId="4" fillId="0" borderId="19" xfId="55" applyNumberFormat="1" applyBorder="1"/>
    <xf numFmtId="165" fontId="12" fillId="0" borderId="19" xfId="81" applyNumberFormat="1" applyFont="1" applyBorder="1" applyAlignment="1">
      <alignment horizontal="right" wrapText="1"/>
    </xf>
    <xf numFmtId="0" fontId="4" fillId="0" borderId="11" xfId="0" applyFont="1" applyBorder="1"/>
    <xf numFmtId="0" fontId="8" fillId="0" borderId="0" xfId="0" applyFont="1" applyAlignment="1">
      <alignment vertical="center"/>
    </xf>
    <xf numFmtId="0" fontId="5" fillId="0" borderId="11" xfId="0" applyFont="1" applyBorder="1"/>
    <xf numFmtId="0" fontId="14" fillId="0" borderId="11" xfId="0" applyFont="1" applyBorder="1"/>
    <xf numFmtId="0" fontId="15" fillId="0" borderId="11" xfId="0" applyFont="1" applyBorder="1"/>
    <xf numFmtId="0" fontId="34" fillId="0" borderId="10" xfId="0" applyFont="1" applyBorder="1"/>
    <xf numFmtId="0" fontId="34" fillId="0" borderId="16" xfId="0" applyFont="1" applyBorder="1"/>
    <xf numFmtId="0" fontId="34" fillId="0" borderId="22" xfId="0" applyFont="1" applyBorder="1"/>
    <xf numFmtId="0" fontId="35" fillId="0" borderId="10" xfId="0" applyFont="1" applyBorder="1"/>
    <xf numFmtId="0" fontId="34" fillId="25" borderId="10" xfId="0" applyFont="1" applyFill="1" applyBorder="1"/>
    <xf numFmtId="0" fontId="35" fillId="24" borderId="10" xfId="0" applyFont="1" applyFill="1" applyBorder="1"/>
    <xf numFmtId="0" fontId="34" fillId="0" borderId="0" xfId="0" applyFont="1"/>
    <xf numFmtId="165" fontId="34" fillId="0" borderId="0" xfId="81" applyNumberFormat="1" applyFont="1"/>
    <xf numFmtId="166" fontId="12" fillId="0" borderId="10" xfId="55" applyNumberFormat="1" applyFont="1" applyBorder="1" applyAlignment="1">
      <alignment vertical="center" wrapText="1"/>
    </xf>
    <xf numFmtId="166" fontId="4" fillId="0" borderId="10" xfId="55" applyNumberFormat="1" applyBorder="1" applyAlignment="1">
      <alignment vertical="center"/>
    </xf>
    <xf numFmtId="165" fontId="12" fillId="0" borderId="10" xfId="8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36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4" fillId="0" borderId="0" xfId="55" applyNumberFormat="1" applyAlignment="1">
      <alignment vertical="center"/>
    </xf>
    <xf numFmtId="166" fontId="12" fillId="0" borderId="0" xfId="55" applyNumberFormat="1" applyFont="1" applyAlignment="1">
      <alignment horizontal="center"/>
    </xf>
    <xf numFmtId="166" fontId="12" fillId="0" borderId="0" xfId="55" applyNumberFormat="1" applyFont="1" applyAlignment="1">
      <alignment wrapText="1"/>
    </xf>
    <xf numFmtId="166" fontId="12" fillId="0" borderId="0" xfId="55" applyNumberFormat="1" applyFont="1" applyAlignment="1">
      <alignment horizontal="right" wrapText="1"/>
    </xf>
    <xf numFmtId="166" fontId="8" fillId="0" borderId="0" xfId="55" applyNumberFormat="1" applyFont="1"/>
    <xf numFmtId="166" fontId="8" fillId="0" borderId="0" xfId="0" applyNumberFormat="1" applyFont="1"/>
    <xf numFmtId="166" fontId="33" fillId="0" borderId="10" xfId="55" applyNumberFormat="1" applyFont="1" applyBorder="1"/>
    <xf numFmtId="166" fontId="36" fillId="0" borderId="17" xfId="55" applyNumberFormat="1" applyFont="1" applyBorder="1" applyAlignment="1">
      <alignment horizontal="center"/>
    </xf>
    <xf numFmtId="166" fontId="36" fillId="0" borderId="10" xfId="55" applyNumberFormat="1" applyFont="1" applyBorder="1" applyAlignment="1">
      <alignment wrapText="1"/>
    </xf>
    <xf numFmtId="166" fontId="36" fillId="0" borderId="16" xfId="55" applyNumberFormat="1" applyFont="1" applyBorder="1" applyAlignment="1">
      <alignment wrapText="1"/>
    </xf>
    <xf numFmtId="166" fontId="33" fillId="0" borderId="0" xfId="55" applyNumberFormat="1" applyFont="1"/>
    <xf numFmtId="165" fontId="36" fillId="0" borderId="10" xfId="81" applyNumberFormat="1" applyFont="1" applyBorder="1" applyAlignment="1">
      <alignment horizontal="right" wrapText="1"/>
    </xf>
    <xf numFmtId="0" fontId="9" fillId="0" borderId="10" xfId="76" applyBorder="1"/>
    <xf numFmtId="0" fontId="9" fillId="0" borderId="0" xfId="76" applyAlignment="1">
      <alignment vertical="center" wrapText="1"/>
    </xf>
    <xf numFmtId="0" fontId="9" fillId="0" borderId="0" xfId="76"/>
    <xf numFmtId="0" fontId="9" fillId="0" borderId="0" xfId="76" applyAlignment="1">
      <alignment horizontal="center" vertical="center" wrapText="1"/>
    </xf>
    <xf numFmtId="0" fontId="9" fillId="0" borderId="0" xfId="76" applyAlignment="1">
      <alignment horizontal="center" vertical="center"/>
    </xf>
    <xf numFmtId="165" fontId="9" fillId="0" borderId="0" xfId="82" applyNumberFormat="1"/>
    <xf numFmtId="0" fontId="38" fillId="0" borderId="0" xfId="76" applyFont="1"/>
    <xf numFmtId="0" fontId="39" fillId="0" borderId="16" xfId="74" applyFont="1" applyBorder="1"/>
    <xf numFmtId="165" fontId="39" fillId="0" borderId="16" xfId="82" applyNumberFormat="1" applyFont="1" applyBorder="1"/>
    <xf numFmtId="0" fontId="39" fillId="0" borderId="11" xfId="74" applyFont="1" applyBorder="1"/>
    <xf numFmtId="165" fontId="39" fillId="0" borderId="11" xfId="82" applyNumberFormat="1" applyFont="1" applyBorder="1"/>
    <xf numFmtId="165" fontId="39" fillId="0" borderId="18" xfId="82" applyNumberFormat="1" applyFont="1" applyBorder="1"/>
    <xf numFmtId="167" fontId="4" fillId="0" borderId="10" xfId="55" applyNumberFormat="1" applyBorder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0" fillId="0" borderId="0" xfId="0" applyFont="1"/>
    <xf numFmtId="166" fontId="12" fillId="0" borderId="10" xfId="55" applyNumberFormat="1" applyFont="1" applyBorder="1" applyAlignment="1">
      <alignment horizontal="left" wrapText="1"/>
    </xf>
    <xf numFmtId="166" fontId="33" fillId="0" borderId="10" xfId="55" applyNumberFormat="1" applyFont="1" applyBorder="1" applyAlignment="1">
      <alignment horizontal="left"/>
    </xf>
    <xf numFmtId="0" fontId="39" fillId="26" borderId="23" xfId="74" applyFont="1" applyFill="1" applyBorder="1" applyAlignment="1">
      <alignment horizontal="center" vertical="center"/>
    </xf>
    <xf numFmtId="0" fontId="39" fillId="26" borderId="24" xfId="74" applyFont="1" applyFill="1" applyBorder="1" applyAlignment="1">
      <alignment horizontal="center" vertical="center"/>
    </xf>
    <xf numFmtId="165" fontId="39" fillId="0" borderId="24" xfId="82" applyNumberFormat="1" applyFont="1" applyBorder="1"/>
    <xf numFmtId="165" fontId="39" fillId="0" borderId="13" xfId="82" applyNumberFormat="1" applyFont="1" applyBorder="1"/>
    <xf numFmtId="9" fontId="48" fillId="26" borderId="15" xfId="82" applyFont="1" applyFill="1" applyBorder="1"/>
    <xf numFmtId="165" fontId="48" fillId="26" borderId="10" xfId="74" applyNumberFormat="1" applyFont="1" applyFill="1" applyBorder="1"/>
    <xf numFmtId="9" fontId="42" fillId="26" borderId="15" xfId="82" applyFont="1" applyFill="1" applyBorder="1"/>
    <xf numFmtId="165" fontId="42" fillId="26" borderId="10" xfId="82" applyNumberFormat="1" applyFont="1" applyFill="1" applyBorder="1"/>
    <xf numFmtId="165" fontId="42" fillId="26" borderId="16" xfId="82" applyNumberFormat="1" applyFont="1" applyFill="1" applyBorder="1"/>
    <xf numFmtId="0" fontId="39" fillId="0" borderId="14" xfId="76" applyFont="1" applyBorder="1"/>
    <xf numFmtId="0" fontId="39" fillId="0" borderId="27" xfId="76" applyFont="1" applyBorder="1"/>
    <xf numFmtId="165" fontId="39" fillId="0" borderId="13" xfId="81" applyNumberFormat="1" applyFont="1" applyBorder="1"/>
    <xf numFmtId="0" fontId="42" fillId="26" borderId="22" xfId="76" applyFont="1" applyFill="1" applyBorder="1"/>
    <xf numFmtId="0" fontId="39" fillId="26" borderId="28" xfId="76" applyFont="1" applyFill="1" applyBorder="1"/>
    <xf numFmtId="0" fontId="39" fillId="0" borderId="25" xfId="76" applyFont="1" applyBorder="1"/>
    <xf numFmtId="0" fontId="39" fillId="26" borderId="29" xfId="76" applyFont="1" applyFill="1" applyBorder="1"/>
    <xf numFmtId="0" fontId="39" fillId="0" borderId="30" xfId="76" applyFont="1" applyBorder="1"/>
    <xf numFmtId="165" fontId="45" fillId="26" borderId="15" xfId="82" applyNumberFormat="1" applyFont="1" applyFill="1" applyBorder="1"/>
    <xf numFmtId="0" fontId="39" fillId="0" borderId="0" xfId="0" applyFont="1"/>
    <xf numFmtId="0" fontId="42" fillId="26" borderId="30" xfId="76" applyFont="1" applyFill="1" applyBorder="1"/>
    <xf numFmtId="0" fontId="42" fillId="26" borderId="28" xfId="76" applyFont="1" applyFill="1" applyBorder="1"/>
    <xf numFmtId="0" fontId="42" fillId="26" borderId="12" xfId="76" applyFont="1" applyFill="1" applyBorder="1"/>
    <xf numFmtId="0" fontId="42" fillId="26" borderId="31" xfId="76" applyFont="1" applyFill="1" applyBorder="1"/>
    <xf numFmtId="0" fontId="42" fillId="26" borderId="29" xfId="76" applyFont="1" applyFill="1" applyBorder="1"/>
    <xf numFmtId="165" fontId="48" fillId="26" borderId="15" xfId="82" applyNumberFormat="1" applyFont="1" applyFill="1" applyBorder="1"/>
    <xf numFmtId="10" fontId="39" fillId="0" borderId="24" xfId="82" applyNumberFormat="1" applyFont="1" applyBorder="1" applyAlignment="1">
      <alignment vertical="center"/>
    </xf>
    <xf numFmtId="10" fontId="39" fillId="0" borderId="13" xfId="82" applyNumberFormat="1" applyFont="1" applyBorder="1" applyAlignment="1">
      <alignment vertical="center"/>
    </xf>
    <xf numFmtId="10" fontId="39" fillId="0" borderId="0" xfId="82" applyNumberFormat="1" applyFont="1" applyAlignment="1">
      <alignment vertical="center"/>
    </xf>
    <xf numFmtId="166" fontId="36" fillId="0" borderId="10" xfId="55" applyNumberFormat="1" applyFont="1" applyBorder="1" applyAlignment="1">
      <alignment horizontal="left"/>
    </xf>
    <xf numFmtId="166" fontId="12" fillId="0" borderId="10" xfId="55" applyNumberFormat="1" applyFont="1" applyBorder="1" applyAlignment="1">
      <alignment horizontal="left"/>
    </xf>
    <xf numFmtId="0" fontId="5" fillId="0" borderId="10" xfId="0" applyFont="1" applyBorder="1"/>
    <xf numFmtId="0" fontId="10" fillId="0" borderId="10" xfId="0" applyFont="1" applyBorder="1"/>
    <xf numFmtId="0" fontId="39" fillId="26" borderId="16" xfId="74" applyFont="1" applyFill="1" applyBorder="1" applyAlignment="1">
      <alignment horizontal="center" vertical="center"/>
    </xf>
    <xf numFmtId="0" fontId="39" fillId="0" borderId="0" xfId="77" applyFont="1" applyAlignment="1">
      <alignment vertical="center" wrapText="1"/>
    </xf>
    <xf numFmtId="0" fontId="39" fillId="0" borderId="0" xfId="77" applyFont="1"/>
    <xf numFmtId="0" fontId="39" fillId="0" borderId="14" xfId="77" applyFont="1" applyBorder="1" applyAlignment="1">
      <alignment vertical="center" wrapText="1"/>
    </xf>
    <xf numFmtId="0" fontId="39" fillId="0" borderId="0" xfId="77" applyFont="1" applyAlignment="1">
      <alignment horizontal="center" vertical="center" wrapText="1"/>
    </xf>
    <xf numFmtId="0" fontId="43" fillId="0" borderId="0" xfId="75" applyFont="1" applyAlignment="1">
      <alignment vertical="center"/>
    </xf>
    <xf numFmtId="0" fontId="46" fillId="0" borderId="0" xfId="77" applyFont="1"/>
    <xf numFmtId="10" fontId="39" fillId="0" borderId="35" xfId="82" applyNumberFormat="1" applyFont="1" applyBorder="1" applyAlignment="1">
      <alignment vertical="center"/>
    </xf>
    <xf numFmtId="165" fontId="39" fillId="0" borderId="16" xfId="82" applyNumberFormat="1" applyFont="1" applyBorder="1" applyAlignment="1">
      <alignment vertical="center"/>
    </xf>
    <xf numFmtId="165" fontId="39" fillId="0" borderId="11" xfId="8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8" xfId="55" applyNumberFormat="1" applyBorder="1"/>
    <xf numFmtId="0" fontId="4" fillId="0" borderId="19" xfId="0" applyFont="1" applyBorder="1"/>
    <xf numFmtId="9" fontId="42" fillId="26" borderId="26" xfId="82" applyFont="1" applyFill="1" applyBorder="1" applyAlignment="1">
      <alignment vertical="center"/>
    </xf>
    <xf numFmtId="9" fontId="42" fillId="26" borderId="32" xfId="82" applyFont="1" applyFill="1" applyBorder="1" applyAlignment="1">
      <alignment vertical="center"/>
    </xf>
    <xf numFmtId="165" fontId="42" fillId="26" borderId="18" xfId="74" applyNumberFormat="1" applyFont="1" applyFill="1" applyBorder="1" applyAlignment="1">
      <alignment vertical="center"/>
    </xf>
    <xf numFmtId="0" fontId="39" fillId="0" borderId="23" xfId="74" applyFont="1" applyBorder="1" applyAlignment="1">
      <alignment horizontal="center" vertical="center"/>
    </xf>
    <xf numFmtId="0" fontId="39" fillId="0" borderId="16" xfId="74" applyFont="1" applyBorder="1" applyAlignment="1">
      <alignment vertical="center"/>
    </xf>
    <xf numFmtId="0" fontId="39" fillId="0" borderId="14" xfId="74" applyFont="1" applyBorder="1" applyAlignment="1">
      <alignment horizontal="center" vertical="center"/>
    </xf>
    <xf numFmtId="0" fontId="39" fillId="0" borderId="11" xfId="74" applyFont="1" applyBorder="1" applyAlignment="1">
      <alignment vertical="center"/>
    </xf>
    <xf numFmtId="3" fontId="42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4" fillId="0" borderId="0" xfId="74" applyFont="1"/>
    <xf numFmtId="3" fontId="39" fillId="0" borderId="23" xfId="74" applyNumberFormat="1" applyFont="1" applyBorder="1" applyAlignment="1">
      <alignment vertical="center"/>
    </xf>
    <xf numFmtId="3" fontId="39" fillId="0" borderId="14" xfId="74" applyNumberFormat="1" applyFont="1" applyBorder="1" applyAlignment="1">
      <alignment vertical="center"/>
    </xf>
    <xf numFmtId="0" fontId="39" fillId="0" borderId="25" xfId="74" applyFont="1" applyBorder="1" applyAlignment="1">
      <alignment horizontal="center" vertical="center"/>
    </xf>
    <xf numFmtId="0" fontId="39" fillId="0" borderId="18" xfId="74" applyFont="1" applyBorder="1" applyAlignment="1">
      <alignment vertical="center"/>
    </xf>
    <xf numFmtId="3" fontId="39" fillId="0" borderId="25" xfId="74" applyNumberFormat="1" applyFont="1" applyBorder="1" applyAlignment="1">
      <alignment vertical="center"/>
    </xf>
    <xf numFmtId="10" fontId="39" fillId="0" borderId="26" xfId="82" applyNumberFormat="1" applyFont="1" applyBorder="1" applyAlignment="1">
      <alignment vertical="center"/>
    </xf>
    <xf numFmtId="10" fontId="39" fillId="0" borderId="32" xfId="82" applyNumberFormat="1" applyFont="1" applyBorder="1" applyAlignment="1">
      <alignment vertical="center"/>
    </xf>
    <xf numFmtId="165" fontId="39" fillId="0" borderId="18" xfId="82" applyNumberFormat="1" applyFont="1" applyBorder="1" applyAlignment="1">
      <alignment vertical="center"/>
    </xf>
    <xf numFmtId="166" fontId="8" fillId="0" borderId="10" xfId="55" applyNumberFormat="1" applyFont="1" applyBorder="1" applyAlignment="1">
      <alignment wrapText="1"/>
    </xf>
    <xf numFmtId="0" fontId="8" fillId="0" borderId="10" xfId="0" applyFont="1" applyBorder="1"/>
    <xf numFmtId="3" fontId="48" fillId="26" borderId="22" xfId="74" applyNumberFormat="1" applyFont="1" applyFill="1" applyBorder="1"/>
    <xf numFmtId="3" fontId="45" fillId="26" borderId="12" xfId="76" applyNumberFormat="1" applyFont="1" applyFill="1" applyBorder="1"/>
    <xf numFmtId="10" fontId="39" fillId="0" borderId="0" xfId="82" applyNumberFormat="1" applyFont="1" applyBorder="1" applyAlignment="1">
      <alignment vertical="center"/>
    </xf>
    <xf numFmtId="3" fontId="42" fillId="26" borderId="22" xfId="76" applyNumberFormat="1" applyFont="1" applyFill="1" applyBorder="1"/>
    <xf numFmtId="10" fontId="12" fillId="0" borderId="0" xfId="81" applyNumberFormat="1" applyFont="1" applyAlignment="1">
      <alignment horizontal="center"/>
    </xf>
    <xf numFmtId="0" fontId="39" fillId="0" borderId="23" xfId="74" applyFont="1" applyBorder="1" applyAlignment="1">
      <alignment vertical="center"/>
    </xf>
    <xf numFmtId="10" fontId="39" fillId="0" borderId="16" xfId="82" applyNumberFormat="1" applyFont="1" applyBorder="1" applyAlignment="1">
      <alignment vertical="center"/>
    </xf>
    <xf numFmtId="0" fontId="39" fillId="0" borderId="14" xfId="74" applyFont="1" applyBorder="1" applyAlignment="1">
      <alignment vertical="center"/>
    </xf>
    <xf numFmtId="10" fontId="39" fillId="0" borderId="11" xfId="82" applyNumberFormat="1" applyFont="1" applyBorder="1" applyAlignment="1">
      <alignment vertical="center"/>
    </xf>
    <xf numFmtId="0" fontId="39" fillId="0" borderId="25" xfId="74" applyFont="1" applyBorder="1" applyAlignment="1">
      <alignment vertical="center"/>
    </xf>
    <xf numFmtId="10" fontId="39" fillId="0" borderId="18" xfId="82" applyNumberFormat="1" applyFont="1" applyBorder="1" applyAlignment="1">
      <alignment vertical="center"/>
    </xf>
    <xf numFmtId="3" fontId="3" fillId="0" borderId="3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3" fillId="0" borderId="16" xfId="0" applyFont="1" applyBorder="1" applyAlignment="1"/>
    <xf numFmtId="0" fontId="3" fillId="0" borderId="11" xfId="0" applyFont="1" applyBorder="1" applyAlignment="1"/>
    <xf numFmtId="0" fontId="39" fillId="0" borderId="0" xfId="77" applyFont="1" applyFill="1"/>
    <xf numFmtId="3" fontId="45" fillId="26" borderId="22" xfId="76" applyNumberFormat="1" applyFont="1" applyFill="1" applyBorder="1"/>
    <xf numFmtId="3" fontId="39" fillId="0" borderId="14" xfId="76" applyNumberFormat="1" applyFont="1" applyBorder="1"/>
    <xf numFmtId="3" fontId="2" fillId="0" borderId="1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10" fontId="39" fillId="0" borderId="19" xfId="82" applyNumberFormat="1" applyFont="1" applyBorder="1" applyAlignment="1">
      <alignment vertical="center"/>
    </xf>
    <xf numFmtId="0" fontId="39" fillId="26" borderId="10" xfId="74" applyFont="1" applyFill="1" applyBorder="1" applyAlignment="1">
      <alignment horizontal="center" vertical="center"/>
    </xf>
    <xf numFmtId="0" fontId="1" fillId="0" borderId="11" xfId="0" applyFont="1" applyBorder="1" applyAlignment="1"/>
    <xf numFmtId="166" fontId="4" fillId="0" borderId="0" xfId="55" applyNumberFormat="1" applyAlignment="1">
      <alignment horizontal="center" vertical="center"/>
    </xf>
    <xf numFmtId="166" fontId="9" fillId="0" borderId="0" xfId="55" applyNumberFormat="1" applyFont="1" applyAlignment="1">
      <alignment horizontal="center" vertical="center"/>
    </xf>
    <xf numFmtId="166" fontId="37" fillId="0" borderId="16" xfId="55" applyNumberFormat="1" applyFont="1" applyBorder="1" applyAlignment="1">
      <alignment horizontal="center" vertical="center"/>
    </xf>
    <xf numFmtId="166" fontId="37" fillId="0" borderId="18" xfId="55" applyNumberFormat="1" applyFont="1" applyBorder="1" applyAlignment="1">
      <alignment horizontal="center" vertical="center"/>
    </xf>
    <xf numFmtId="165" fontId="10" fillId="0" borderId="22" xfId="81" applyNumberFormat="1" applyFont="1" applyBorder="1" applyAlignment="1">
      <alignment horizontal="center" vertical="center" shrinkToFit="1"/>
    </xf>
    <xf numFmtId="165" fontId="34" fillId="0" borderId="15" xfId="81" applyNumberFormat="1" applyFont="1" applyBorder="1" applyAlignment="1">
      <alignment horizontal="center" vertical="center" shrinkToFit="1"/>
    </xf>
    <xf numFmtId="166" fontId="36" fillId="0" borderId="16" xfId="55" applyNumberFormat="1" applyFont="1" applyBorder="1" applyAlignment="1">
      <alignment horizontal="center" vertical="center" wrapText="1"/>
    </xf>
    <xf numFmtId="166" fontId="36" fillId="0" borderId="18" xfId="55" applyNumberFormat="1" applyFont="1" applyBorder="1" applyAlignment="1">
      <alignment horizontal="center" vertical="center" wrapText="1"/>
    </xf>
    <xf numFmtId="165" fontId="10" fillId="0" borderId="22" xfId="81" applyNumberFormat="1" applyFont="1" applyBorder="1" applyAlignment="1">
      <alignment horizontal="center" vertical="center" wrapText="1" shrinkToFit="1"/>
    </xf>
    <xf numFmtId="165" fontId="34" fillId="0" borderId="15" xfId="81" applyNumberFormat="1" applyFont="1" applyBorder="1" applyAlignment="1">
      <alignment horizontal="center" vertical="center" wrapText="1" shrinkToFit="1"/>
    </xf>
    <xf numFmtId="166" fontId="12" fillId="0" borderId="18" xfId="55" applyNumberFormat="1" applyFont="1" applyBorder="1" applyAlignment="1">
      <alignment horizontal="center" vertical="center" wrapText="1"/>
    </xf>
    <xf numFmtId="165" fontId="10" fillId="0" borderId="10" xfId="81" applyNumberFormat="1" applyFont="1" applyBorder="1" applyAlignment="1">
      <alignment horizontal="center" vertical="center" wrapText="1" shrinkToFit="1"/>
    </xf>
    <xf numFmtId="165" fontId="34" fillId="0" borderId="10" xfId="81" applyNumberFormat="1" applyFont="1" applyBorder="1" applyAlignment="1">
      <alignment horizontal="center" vertical="center" shrinkToFit="1"/>
    </xf>
    <xf numFmtId="166" fontId="12" fillId="0" borderId="16" xfId="5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32" xfId="75" applyFont="1" applyBorder="1" applyAlignment="1">
      <alignment horizontal="center" vertical="center"/>
    </xf>
    <xf numFmtId="0" fontId="43" fillId="0" borderId="32" xfId="74" applyFont="1" applyBorder="1" applyAlignment="1">
      <alignment horizontal="center" vertical="center"/>
    </xf>
    <xf numFmtId="0" fontId="42" fillId="26" borderId="16" xfId="74" applyFont="1" applyFill="1" applyBorder="1" applyAlignment="1">
      <alignment horizontal="center" vertical="center" wrapText="1"/>
    </xf>
    <xf numFmtId="0" fontId="42" fillId="26" borderId="18" xfId="74" applyFont="1" applyFill="1" applyBorder="1" applyAlignment="1">
      <alignment horizontal="center" vertical="center" wrapText="1"/>
    </xf>
    <xf numFmtId="0" fontId="42" fillId="26" borderId="16" xfId="74" applyFont="1" applyFill="1" applyBorder="1" applyAlignment="1">
      <alignment horizontal="center" vertical="center"/>
    </xf>
    <xf numFmtId="0" fontId="42" fillId="26" borderId="33" xfId="74" applyFont="1" applyFill="1" applyBorder="1" applyAlignment="1">
      <alignment horizontal="center" vertical="center"/>
    </xf>
    <xf numFmtId="0" fontId="42" fillId="26" borderId="22" xfId="74" applyFont="1" applyFill="1" applyBorder="1" applyAlignment="1">
      <alignment horizontal="center" vertical="center"/>
    </xf>
    <xf numFmtId="0" fontId="42" fillId="26" borderId="12" xfId="74" applyFont="1" applyFill="1" applyBorder="1" applyAlignment="1">
      <alignment horizontal="center" vertical="center"/>
    </xf>
    <xf numFmtId="0" fontId="42" fillId="26" borderId="15" xfId="74" applyFont="1" applyFill="1" applyBorder="1" applyAlignment="1">
      <alignment horizontal="center" vertical="center"/>
    </xf>
    <xf numFmtId="0" fontId="42" fillId="26" borderId="11" xfId="74" applyFont="1" applyFill="1" applyBorder="1" applyAlignment="1">
      <alignment horizontal="center" vertical="center" wrapText="1"/>
    </xf>
    <xf numFmtId="0" fontId="42" fillId="26" borderId="24" xfId="74" applyFont="1" applyFill="1" applyBorder="1" applyAlignment="1">
      <alignment horizontal="center" vertical="center"/>
    </xf>
    <xf numFmtId="0" fontId="42" fillId="26" borderId="13" xfId="74" applyFont="1" applyFill="1" applyBorder="1" applyAlignment="1">
      <alignment horizontal="center" vertical="center"/>
    </xf>
    <xf numFmtId="0" fontId="42" fillId="26" borderId="34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/>
    </xf>
    <xf numFmtId="0" fontId="39" fillId="26" borderId="18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42" fillId="26" borderId="10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5" fillId="26" borderId="22" xfId="76" applyFont="1" applyFill="1" applyBorder="1" applyAlignment="1">
      <alignment horizontal="center"/>
    </xf>
    <xf numFmtId="0" fontId="45" fillId="26" borderId="15" xfId="76" applyFont="1" applyFill="1" applyBorder="1" applyAlignment="1">
      <alignment horizontal="center"/>
    </xf>
    <xf numFmtId="0" fontId="45" fillId="26" borderId="18" xfId="76" applyFont="1" applyFill="1" applyBorder="1" applyAlignment="1">
      <alignment horizontal="center"/>
    </xf>
    <xf numFmtId="0" fontId="45" fillId="26" borderId="10" xfId="76" applyFont="1" applyFill="1" applyBorder="1" applyAlignment="1">
      <alignment horizontal="center"/>
    </xf>
    <xf numFmtId="0" fontId="44" fillId="0" borderId="19" xfId="77" applyFont="1" applyBorder="1" applyAlignment="1">
      <alignment horizontal="left"/>
    </xf>
    <xf numFmtId="0" fontId="44" fillId="0" borderId="0" xfId="77" applyFont="1" applyAlignment="1">
      <alignment horizontal="left" wrapText="1"/>
    </xf>
    <xf numFmtId="165" fontId="10" fillId="0" borderId="15" xfId="81" applyNumberFormat="1" applyFont="1" applyBorder="1" applyAlignment="1">
      <alignment horizontal="center" vertical="center" shrinkToFit="1"/>
    </xf>
    <xf numFmtId="165" fontId="10" fillId="0" borderId="15" xfId="81" applyNumberFormat="1" applyFont="1" applyBorder="1" applyAlignment="1">
      <alignment horizontal="center" vertical="center" wrapText="1" shrinkToFit="1"/>
    </xf>
    <xf numFmtId="0" fontId="34" fillId="0" borderId="0" xfId="76" applyFont="1" applyAlignment="1">
      <alignment horizontal="center" vertical="center" wrapText="1"/>
    </xf>
    <xf numFmtId="0" fontId="9" fillId="0" borderId="0" xfId="76" applyAlignment="1">
      <alignment horizontal="center" vertical="center" wrapText="1"/>
    </xf>
    <xf numFmtId="0" fontId="44" fillId="0" borderId="0" xfId="76" applyFont="1" applyAlignment="1">
      <alignment horizontal="left" vertical="top" wrapText="1"/>
    </xf>
    <xf numFmtId="0" fontId="42" fillId="26" borderId="11" xfId="74" applyFont="1" applyFill="1" applyBorder="1" applyAlignment="1">
      <alignment horizontal="center" vertical="center"/>
    </xf>
    <xf numFmtId="0" fontId="44" fillId="0" borderId="35" xfId="76" applyFont="1" applyBorder="1" applyAlignment="1">
      <alignment horizontal="left"/>
    </xf>
    <xf numFmtId="0" fontId="34" fillId="0" borderId="22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4015</c:v>
                </c:pt>
                <c:pt idx="1">
                  <c:v>1596</c:v>
                </c:pt>
                <c:pt idx="2">
                  <c:v>5388</c:v>
                </c:pt>
                <c:pt idx="3">
                  <c:v>88</c:v>
                </c:pt>
                <c:pt idx="4">
                  <c:v>556</c:v>
                </c:pt>
                <c:pt idx="5">
                  <c:v>1231</c:v>
                </c:pt>
                <c:pt idx="6">
                  <c:v>3268</c:v>
                </c:pt>
                <c:pt idx="7">
                  <c:v>918</c:v>
                </c:pt>
                <c:pt idx="8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159</c:v>
                </c:pt>
                <c:pt idx="1">
                  <c:v>6085</c:v>
                </c:pt>
                <c:pt idx="2">
                  <c:v>183</c:v>
                </c:pt>
                <c:pt idx="3">
                  <c:v>2135</c:v>
                </c:pt>
                <c:pt idx="4">
                  <c:v>1823</c:v>
                </c:pt>
                <c:pt idx="5">
                  <c:v>1613</c:v>
                </c:pt>
                <c:pt idx="6">
                  <c:v>2659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3066</c:v>
                </c:pt>
                <c:pt idx="1">
                  <c:v>1379</c:v>
                </c:pt>
                <c:pt idx="2">
                  <c:v>4601</c:v>
                </c:pt>
                <c:pt idx="3">
                  <c:v>125</c:v>
                </c:pt>
                <c:pt idx="4">
                  <c:v>466</c:v>
                </c:pt>
                <c:pt idx="5">
                  <c:v>878</c:v>
                </c:pt>
                <c:pt idx="6">
                  <c:v>3344</c:v>
                </c:pt>
                <c:pt idx="7">
                  <c:v>703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48886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0.84351348034202023</c:v>
                </c:pt>
                <c:pt idx="1">
                  <c:v>0.1564865196579798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70730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73560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0.79443991299619354</c:v>
                </c:pt>
                <c:pt idx="1">
                  <c:v>0.20556008700380643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0.69721163978276723</c:v>
                </c:pt>
                <c:pt idx="1">
                  <c:v>0.30278836021723271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14657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386</c:v>
                </c:pt>
                <c:pt idx="1">
                  <c:v>7642</c:v>
                </c:pt>
                <c:pt idx="2">
                  <c:v>159</c:v>
                </c:pt>
                <c:pt idx="3">
                  <c:v>2478</c:v>
                </c:pt>
                <c:pt idx="4">
                  <c:v>2090</c:v>
                </c:pt>
                <c:pt idx="5">
                  <c:v>1615</c:v>
                </c:pt>
                <c:pt idx="6">
                  <c:v>2833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62</xdr:row>
      <xdr:rowOff>133350</xdr:rowOff>
    </xdr:from>
    <xdr:to>
      <xdr:col>15</xdr:col>
      <xdr:colOff>209550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B44" sqref="B44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5" t="s">
        <v>136</v>
      </c>
    </row>
    <row r="14" spans="2:18">
      <c r="C14" s="6"/>
    </row>
    <row r="15" spans="2:18">
      <c r="B15" s="7" t="s">
        <v>137</v>
      </c>
      <c r="C15" s="135" t="s">
        <v>138</v>
      </c>
    </row>
    <row r="17" spans="2:17">
      <c r="B17" s="7" t="s">
        <v>129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90" t="s">
        <v>0</v>
      </c>
    </row>
    <row r="28" spans="2:17">
      <c r="B28" s="90" t="s">
        <v>103</v>
      </c>
    </row>
  </sheetData>
  <phoneticPr fontId="7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topLeftCell="B1" zoomScaleNormal="100" workbookViewId="0">
      <selection activeCell="C3" sqref="C3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5" t="s">
        <v>107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T1" s="185" t="s">
        <v>85</v>
      </c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>
        <v>10312</v>
      </c>
      <c r="H3" s="1">
        <v>9286</v>
      </c>
      <c r="I3" s="1"/>
      <c r="J3" s="1"/>
      <c r="K3" s="1"/>
      <c r="L3" s="1"/>
      <c r="M3" s="4"/>
      <c r="N3" s="1">
        <f>SUM(B3:M3)</f>
        <v>58439</v>
      </c>
      <c r="O3" s="11">
        <f>N3/N5</f>
        <v>0.79443991299619354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>
        <v>2942</v>
      </c>
      <c r="H4" s="12">
        <v>2757</v>
      </c>
      <c r="I4" s="12"/>
      <c r="J4" s="12"/>
      <c r="K4" s="12"/>
      <c r="L4" s="12"/>
      <c r="M4" s="13"/>
      <c r="N4" s="1">
        <f>SUM(B4:M4)</f>
        <v>15121</v>
      </c>
      <c r="O4" s="11">
        <f>N4/N5</f>
        <v>0.20556008700380643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f>SUM(B3:B4)</f>
        <v>4557</v>
      </c>
      <c r="C5" s="5">
        <f>SUM(C3:C4)</f>
        <v>6222</v>
      </c>
      <c r="D5" s="5">
        <f>SUM(D3:D4)</f>
        <v>11764</v>
      </c>
      <c r="E5" s="5">
        <f>SUM(E3:E4)</f>
        <v>12045</v>
      </c>
      <c r="F5" s="5">
        <f t="shared" ref="F5:H5" si="0">SUM(F3:F4)</f>
        <v>13675</v>
      </c>
      <c r="G5" s="5">
        <f t="shared" si="0"/>
        <v>13254</v>
      </c>
      <c r="H5" s="5">
        <f t="shared" si="0"/>
        <v>12043</v>
      </c>
      <c r="I5" s="5"/>
      <c r="J5" s="5"/>
      <c r="K5" s="5"/>
      <c r="L5" s="5"/>
      <c r="M5" s="5"/>
      <c r="N5" s="5">
        <f>SUM(B5:M5)</f>
        <v>73560</v>
      </c>
      <c r="O5" s="11">
        <v>1</v>
      </c>
      <c r="T5" s="156" t="s">
        <v>86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109</v>
      </c>
      <c r="B6" s="24">
        <f>B5/AF5-1</f>
        <v>-0.17684248554913296</v>
      </c>
      <c r="C6" s="24">
        <f>C5/B5-1</f>
        <v>0.36537195523370647</v>
      </c>
      <c r="D6" s="24">
        <f>D5/C5-1</f>
        <v>0.8907103825136613</v>
      </c>
      <c r="E6" s="24">
        <f>E5/D5-1</f>
        <v>2.3886433185991152E-2</v>
      </c>
      <c r="F6" s="24">
        <f t="shared" ref="F6:H6" si="1">F5/E5-1</f>
        <v>0.13532586135325864</v>
      </c>
      <c r="G6" s="24">
        <f t="shared" si="1"/>
        <v>-3.0786106032906768E-2</v>
      </c>
      <c r="H6" s="24">
        <f t="shared" si="1"/>
        <v>-9.136864342839901E-2</v>
      </c>
      <c r="I6" s="24"/>
      <c r="J6" s="24"/>
      <c r="K6" s="24"/>
      <c r="L6" s="24"/>
      <c r="M6" s="24"/>
      <c r="N6" s="25"/>
    </row>
    <row r="7" spans="1:33" ht="15.75" customHeight="1">
      <c r="A7" s="21" t="s">
        <v>110</v>
      </c>
      <c r="B7" s="26">
        <f>B5/U5-1</f>
        <v>0.15601217656012167</v>
      </c>
      <c r="C7" s="26">
        <f>C5/V5-1</f>
        <v>0.21523437500000009</v>
      </c>
      <c r="D7" s="26">
        <f>D5/W5-1</f>
        <v>5.9915307685377117E-2</v>
      </c>
      <c r="E7" s="26">
        <f>E5/X5-1</f>
        <v>-4.7374248655488782E-2</v>
      </c>
      <c r="F7" s="26">
        <f t="shared" ref="F7:H7" si="2">F5/Y5-1</f>
        <v>5.4356206630686188E-2</v>
      </c>
      <c r="G7" s="26">
        <f t="shared" si="2"/>
        <v>1.7269168777342747E-2</v>
      </c>
      <c r="H7" s="26">
        <f t="shared" si="2"/>
        <v>9.810498071440632E-3</v>
      </c>
      <c r="I7" s="26"/>
      <c r="J7" s="26"/>
      <c r="K7" s="26"/>
      <c r="L7" s="26"/>
      <c r="M7" s="26"/>
      <c r="N7" s="26">
        <f ca="1">+N5/F13-1</f>
        <v>4.0011310617842577E-2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7" t="s">
        <v>19</v>
      </c>
      <c r="B9" s="189" t="s">
        <v>156</v>
      </c>
      <c r="C9" s="190"/>
      <c r="D9" s="191" t="s">
        <v>5</v>
      </c>
      <c r="E9" s="193" t="str">
        <f>"ROK NARASTAJĄCO
STYCZEŃ-" &amp; B9</f>
        <v>ROK NARASTAJĄCO
STYCZEŃ-LIPIEC</v>
      </c>
      <c r="F9" s="194"/>
      <c r="G9" s="191" t="s">
        <v>5</v>
      </c>
      <c r="N9" s="19"/>
    </row>
    <row r="10" spans="1:33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2"/>
      <c r="H10" s="3"/>
      <c r="N10" s="19"/>
    </row>
    <row r="11" spans="1:33" ht="19.5" customHeight="1">
      <c r="A11" s="71" t="s">
        <v>20</v>
      </c>
      <c r="B11" s="21">
        <f ca="1">OFFSET(A3,,COUNTA(B3:M3),,)</f>
        <v>9286</v>
      </c>
      <c r="C11" s="21">
        <f ca="1">OFFSET(T3,,COUNTA(B3:M3),,)</f>
        <v>8928</v>
      </c>
      <c r="D11" s="74">
        <f ca="1">+B11/C11-1</f>
        <v>4.0098566308243822E-2</v>
      </c>
      <c r="E11" s="21">
        <f>N3</f>
        <v>58439</v>
      </c>
      <c r="F11" s="71">
        <f ca="1">SUM(OFFSET(U3,,,,COUNTA(B3:M3)))</f>
        <v>56526</v>
      </c>
      <c r="G11" s="74">
        <f ca="1">+E11/F11-1</f>
        <v>3.3842833386406257E-2</v>
      </c>
      <c r="H11" s="3"/>
      <c r="N11" s="19"/>
    </row>
    <row r="12" spans="1:33" ht="19.5" customHeight="1">
      <c r="A12" s="71" t="s">
        <v>21</v>
      </c>
      <c r="B12" s="21">
        <f ca="1">OFFSET(A4,,COUNTA(B4:M4),,)</f>
        <v>2757</v>
      </c>
      <c r="C12" s="21">
        <f ca="1">OFFSET(T4,,COUNTA(B4:M4),,)</f>
        <v>2998</v>
      </c>
      <c r="D12" s="74">
        <f ca="1">+B12/C12-1</f>
        <v>-8.0386924616410949E-2</v>
      </c>
      <c r="E12" s="21">
        <f>N4</f>
        <v>15121</v>
      </c>
      <c r="F12" s="71">
        <f ca="1">SUM(OFFSET(U4,,,,COUNTA(B4:M4)))</f>
        <v>14204</v>
      </c>
      <c r="G12" s="74">
        <f ca="1">+E12/F12-1</f>
        <v>6.4559279076316534E-2</v>
      </c>
      <c r="N12" s="19"/>
      <c r="Q12" s="31"/>
    </row>
    <row r="13" spans="1:33" ht="19.5" customHeight="1">
      <c r="A13" s="69" t="s">
        <v>18</v>
      </c>
      <c r="B13" s="21">
        <f ca="1">SUM(B11:B12)</f>
        <v>12043</v>
      </c>
      <c r="C13" s="21">
        <f ca="1">SUM(C11:C12)</f>
        <v>11926</v>
      </c>
      <c r="D13" s="74">
        <f ca="1">+B13/C13-1</f>
        <v>9.810498071440632E-3</v>
      </c>
      <c r="E13" s="21">
        <f>SUM(E11:E12)</f>
        <v>73560</v>
      </c>
      <c r="F13" s="21">
        <f ca="1">SUM(F11:F12)</f>
        <v>70730</v>
      </c>
      <c r="G13" s="74">
        <f ca="1">+E13/F13-1</f>
        <v>4.0011310617842577E-2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Normal="10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111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98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>
        <v>3241</v>
      </c>
      <c r="H3" s="1">
        <v>2715</v>
      </c>
      <c r="I3" s="1"/>
      <c r="J3" s="1"/>
      <c r="K3" s="1"/>
      <c r="L3" s="1"/>
      <c r="M3" s="4"/>
      <c r="N3" s="1">
        <f>SUM(B3:M3)</f>
        <v>17203</v>
      </c>
      <c r="O3" s="11">
        <f>N3/N5</f>
        <v>0.69721163978276723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>
        <v>1513</v>
      </c>
      <c r="H4" s="12">
        <v>1390</v>
      </c>
      <c r="I4" s="12"/>
      <c r="J4" s="12"/>
      <c r="K4" s="12"/>
      <c r="L4" s="12"/>
      <c r="M4" s="13"/>
      <c r="N4" s="1">
        <f>SUM(B4:M4)</f>
        <v>7471</v>
      </c>
      <c r="O4" s="11">
        <f>N4/N5</f>
        <v>0.30278836021723271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f>SUM(B3:B4)</f>
        <v>1211</v>
      </c>
      <c r="C5" s="5">
        <f>SUM(C3:C4)</f>
        <v>1772</v>
      </c>
      <c r="D5" s="5">
        <f>SUM(D3:D4)</f>
        <v>3869</v>
      </c>
      <c r="E5" s="5">
        <f>SUM(E3:E4)</f>
        <v>4082</v>
      </c>
      <c r="F5" s="5">
        <f t="shared" ref="F5:H5" si="0">SUM(F3:F4)</f>
        <v>4881</v>
      </c>
      <c r="G5" s="5">
        <f t="shared" si="0"/>
        <v>4754</v>
      </c>
      <c r="H5" s="5">
        <f t="shared" si="0"/>
        <v>4105</v>
      </c>
      <c r="I5" s="5"/>
      <c r="J5" s="5"/>
      <c r="K5" s="5"/>
      <c r="L5" s="5"/>
      <c r="M5" s="5"/>
      <c r="N5" s="5">
        <f>SUM(B5:M5)</f>
        <v>24674</v>
      </c>
      <c r="O5" s="11">
        <v>1</v>
      </c>
      <c r="T5" s="156" t="s">
        <v>86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109</v>
      </c>
      <c r="B6" s="24">
        <f>B5/AF5-1</f>
        <v>-0.48314127187366629</v>
      </c>
      <c r="C6" s="24">
        <f>C5/B5-1</f>
        <v>0.46325350949628397</v>
      </c>
      <c r="D6" s="24">
        <f>D5/C5-1</f>
        <v>1.1834085778781041</v>
      </c>
      <c r="E6" s="24">
        <f>E5/D5-1</f>
        <v>5.5052985267511012E-2</v>
      </c>
      <c r="F6" s="24">
        <f t="shared" ref="F6:H6" si="1">F5/E5-1</f>
        <v>0.19573738363547277</v>
      </c>
      <c r="G6" s="24">
        <f t="shared" si="1"/>
        <v>-2.6019258348699004E-2</v>
      </c>
      <c r="H6" s="24">
        <f t="shared" si="1"/>
        <v>-0.1365166175851914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0.70323488045007032</v>
      </c>
      <c r="C7" s="26">
        <f>C5/V5-1</f>
        <v>0.35577658760520281</v>
      </c>
      <c r="D7" s="26">
        <f>D5/W5-1</f>
        <v>0.23808000000000007</v>
      </c>
      <c r="E7" s="26">
        <f>E5/X5-1</f>
        <v>1.4413518886679855E-2</v>
      </c>
      <c r="F7" s="26">
        <f t="shared" ref="F7:H7" si="2">F5/Y5-1</f>
        <v>0.10429864253393673</v>
      </c>
      <c r="G7" s="26">
        <f t="shared" si="2"/>
        <v>4.736726151134607E-2</v>
      </c>
      <c r="H7" s="26">
        <f t="shared" si="2"/>
        <v>-2.6724975704567333E-3</v>
      </c>
      <c r="I7" s="26"/>
      <c r="J7" s="26"/>
      <c r="K7" s="26"/>
      <c r="L7" s="26"/>
      <c r="M7" s="26"/>
      <c r="N7" s="26">
        <f ca="1">+N5/F13-1</f>
        <v>0.10934268501034072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7" t="s">
        <v>19</v>
      </c>
      <c r="B9" s="189" t="str">
        <f>'R_PTW 2022vs2021'!B9:C9</f>
        <v>LIPIEC</v>
      </c>
      <c r="C9" s="190"/>
      <c r="D9" s="191" t="s">
        <v>5</v>
      </c>
      <c r="E9" s="196" t="str">
        <f>"ROK NARASTAJĄCO
STYCZEŃ-"&amp;B9</f>
        <v>ROK NARASTAJĄCO
STYCZEŃ-LIPIEC</v>
      </c>
      <c r="F9" s="197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5"/>
      <c r="E10" s="60">
        <v>2022</v>
      </c>
      <c r="F10" s="60">
        <v>2021</v>
      </c>
      <c r="G10" s="195"/>
      <c r="H10" s="3"/>
      <c r="N10" s="19"/>
      <c r="T10" s="162"/>
      <c r="U10" s="64"/>
      <c r="V10" s="64"/>
      <c r="AA10" s="3"/>
    </row>
    <row r="11" spans="1:34" ht="18" customHeight="1">
      <c r="A11" s="16" t="s">
        <v>20</v>
      </c>
      <c r="B11" s="21">
        <f ca="1">OFFSET(A3,,COUNTA(B3:M3),,)</f>
        <v>2715</v>
      </c>
      <c r="C11" s="21">
        <f ca="1">OFFSET(T3,,COUNTA(B3:M3),,)</f>
        <v>2423</v>
      </c>
      <c r="D11" s="74">
        <f ca="1">+B11/C11-1</f>
        <v>0.12051176227816751</v>
      </c>
      <c r="E11" s="21">
        <f>N3</f>
        <v>17203</v>
      </c>
      <c r="F11" s="71">
        <f ca="1">SUM(OFFSET(U3,,,,COUNTA(B3:M3)))</f>
        <v>14657</v>
      </c>
      <c r="G11" s="74">
        <f ca="1">+E11/F11-1</f>
        <v>0.17370539673875962</v>
      </c>
      <c r="H11" s="3"/>
      <c r="N11" s="19"/>
      <c r="T11" s="162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f ca="1">OFFSET(A4,,COUNTA(B4:M4),,)</f>
        <v>1390</v>
      </c>
      <c r="C12" s="21">
        <f ca="1">OFFSET(T4,,COUNTA(B4:M4),,)</f>
        <v>1693</v>
      </c>
      <c r="D12" s="74">
        <f ca="1">+B12/C12-1</f>
        <v>-0.1789722386296515</v>
      </c>
      <c r="E12" s="21">
        <f>N4</f>
        <v>7471</v>
      </c>
      <c r="F12" s="71">
        <f ca="1">SUM(OFFSET(U4,,,,COUNTA(B4:M4)))</f>
        <v>7585</v>
      </c>
      <c r="G12" s="74">
        <f ca="1">+E12/F12-1</f>
        <v>-1.5029663810151583E-2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f ca="1">SUM(B11:B12)</f>
        <v>4105</v>
      </c>
      <c r="C13" s="21">
        <f ca="1">SUM(C11:C12)</f>
        <v>4116</v>
      </c>
      <c r="D13" s="74">
        <f ca="1">+B13/C13-1</f>
        <v>-2.6724975704567333E-3</v>
      </c>
      <c r="E13" s="21">
        <f>SUM(E11:E12)</f>
        <v>24674</v>
      </c>
      <c r="F13" s="21">
        <f ca="1">SUM(F11:F12)</f>
        <v>22242</v>
      </c>
      <c r="G13" s="74">
        <f ca="1">+E13/F13-1</f>
        <v>0.10934268501034072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Normal="100" workbookViewId="0">
      <selection activeCell="H9" sqref="H9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9" t="s">
        <v>112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f t="shared" ref="N4:N9" si="0">SUM(B4:M4)</f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f t="shared" si="0"/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f>+'R_MC&amp;MP struktura 2022'!B10</f>
        <v>856</v>
      </c>
      <c r="C9" s="5">
        <f>+'R_MC&amp;MP struktura 2022'!C10</f>
        <v>1276</v>
      </c>
      <c r="D9" s="5">
        <f>+'R_MC&amp;MP struktura 2022'!D10</f>
        <v>2828</v>
      </c>
      <c r="E9" s="5">
        <f>+'R_MC&amp;MP struktura 2022'!E10</f>
        <v>2875</v>
      </c>
      <c r="F9" s="5">
        <f>+'R_MC&amp;MP struktura 2022'!F10</f>
        <v>3412</v>
      </c>
      <c r="G9" s="5">
        <f>+'R_MC&amp;MP struktura 2022'!G10</f>
        <v>3241</v>
      </c>
      <c r="H9" s="5">
        <v>2715</v>
      </c>
      <c r="I9" s="5"/>
      <c r="J9" s="5"/>
      <c r="K9" s="5"/>
      <c r="L9" s="5"/>
      <c r="M9" s="5"/>
      <c r="N9" s="27">
        <f t="shared" si="0"/>
        <v>17203</v>
      </c>
      <c r="O9" s="3"/>
      <c r="R9" s="88"/>
    </row>
    <row r="10" spans="1:18">
      <c r="A10" s="137" t="s">
        <v>113</v>
      </c>
      <c r="B10" s="33">
        <f>+B9/B8-1</f>
        <v>1.0878048780487806</v>
      </c>
      <c r="C10" s="33">
        <f>+C9/C8-1</f>
        <v>0.40838852097130252</v>
      </c>
      <c r="D10" s="33">
        <f>+D9/D8-1</f>
        <v>0.27215474583895638</v>
      </c>
      <c r="E10" s="33">
        <f>+E9/E8-1</f>
        <v>-3.1206657420249639E-3</v>
      </c>
      <c r="F10" s="33">
        <f t="shared" ref="F10:H10" si="1">+F9/F8-1</f>
        <v>0.15153560580492753</v>
      </c>
      <c r="G10" s="33">
        <f t="shared" si="1"/>
        <v>0.13799157303370779</v>
      </c>
      <c r="H10" s="33">
        <f t="shared" si="1"/>
        <v>0.12051176227816751</v>
      </c>
      <c r="I10" s="33"/>
      <c r="J10" s="33"/>
      <c r="K10" s="33"/>
      <c r="L10" s="33"/>
      <c r="M10" s="33"/>
      <c r="N10" s="33">
        <f ca="1">+N9/F14-1</f>
        <v>0.17370539673875962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7" t="s">
        <v>19</v>
      </c>
      <c r="B12" s="189" t="str">
        <f>'R_PTW 2022vs2021'!B9:C9</f>
        <v>LIPIEC</v>
      </c>
      <c r="C12" s="190"/>
      <c r="D12" s="191" t="s">
        <v>5</v>
      </c>
      <c r="E12" s="196" t="str">
        <f>"ROK NARASTAJĄCO
STYCZEŃ-"&amp;B12</f>
        <v>ROK NARASTAJĄCO
STYCZEŃ-LIPIEC</v>
      </c>
      <c r="F12" s="197"/>
      <c r="G12" s="19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8"/>
      <c r="B13" s="60">
        <v>2022</v>
      </c>
      <c r="C13" s="60">
        <v>2021</v>
      </c>
      <c r="D13" s="195"/>
      <c r="E13" s="60">
        <v>2022</v>
      </c>
      <c r="F13" s="60">
        <v>2021</v>
      </c>
      <c r="G13" s="19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f ca="1">OFFSET(A9,,COUNTA(B10:M10),,)</f>
        <v>2715</v>
      </c>
      <c r="C14" s="58">
        <f ca="1">OFFSET(A8,,COUNTA(B10:M10),,)</f>
        <v>2423</v>
      </c>
      <c r="D14" s="59">
        <f ca="1">+B14/C14-1</f>
        <v>0.12051176227816751</v>
      </c>
      <c r="E14" s="58">
        <f>+N9</f>
        <v>17203</v>
      </c>
      <c r="F14" s="57">
        <f ca="1">SUM(OFFSET(B8,,,,COUNTA(B10:M10)))</f>
        <v>14657</v>
      </c>
      <c r="G14" s="59">
        <f ca="1">+E14/F14-1</f>
        <v>0.17370539673875962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11">
        <f t="shared" ref="B46:N46" si="2">+B45/B6</f>
        <v>0.30217391304347824</v>
      </c>
      <c r="C46" s="11">
        <f t="shared" si="2"/>
        <v>0.37625979843225082</v>
      </c>
      <c r="D46" s="11">
        <f t="shared" si="2"/>
        <v>0.2320110701107011</v>
      </c>
      <c r="E46" s="11">
        <f t="shared" si="2"/>
        <v>0.19865642994241842</v>
      </c>
      <c r="F46" s="11">
        <f t="shared" si="2"/>
        <v>0.31614981876761983</v>
      </c>
      <c r="G46" s="11">
        <f t="shared" si="2"/>
        <v>0.25322782174094127</v>
      </c>
      <c r="H46" s="11">
        <f t="shared" si="2"/>
        <v>0.19461077844311378</v>
      </c>
      <c r="I46" s="11">
        <f t="shared" si="2"/>
        <v>0.21739130434782608</v>
      </c>
      <c r="J46" s="11">
        <f t="shared" si="2"/>
        <v>0.25163398692810457</v>
      </c>
      <c r="K46" s="11">
        <f t="shared" si="2"/>
        <v>0.37116912599318957</v>
      </c>
      <c r="L46" s="11">
        <f t="shared" si="2"/>
        <v>0.43760129659643437</v>
      </c>
      <c r="M46" s="11">
        <f t="shared" si="2"/>
        <v>0.53846153846153844</v>
      </c>
      <c r="N46" s="11">
        <f t="shared" si="2"/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11">
        <f t="shared" ref="B48:N48" si="3">+B47/B8</f>
        <v>0.77073170731707319</v>
      </c>
      <c r="C48" s="11">
        <f t="shared" si="3"/>
        <v>0.58609271523178808</v>
      </c>
      <c r="D48" s="11">
        <f t="shared" si="3"/>
        <v>0.37156995051731895</v>
      </c>
      <c r="E48" s="11">
        <f t="shared" si="3"/>
        <v>0.25242718446601942</v>
      </c>
      <c r="F48" s="11">
        <f t="shared" si="3"/>
        <v>0.22848464394195073</v>
      </c>
      <c r="G48" s="11">
        <f t="shared" si="3"/>
        <v>0.22191011235955055</v>
      </c>
      <c r="H48" s="11">
        <f t="shared" si="3"/>
        <v>0.24061081304168386</v>
      </c>
      <c r="I48" s="11">
        <f t="shared" si="3"/>
        <v>0.20591341077085534</v>
      </c>
      <c r="J48" s="11">
        <f t="shared" si="3"/>
        <v>0.27515400410677621</v>
      </c>
      <c r="K48" s="11">
        <f t="shared" si="3"/>
        <v>0.17284991568296795</v>
      </c>
      <c r="L48" s="11">
        <f t="shared" si="3"/>
        <v>0.21008403361344538</v>
      </c>
      <c r="M48" s="11">
        <f t="shared" si="3"/>
        <v>0.18396946564885497</v>
      </c>
      <c r="N48" s="11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f>SUM(B49:M49)</f>
        <v>1985</v>
      </c>
    </row>
    <row r="50" spans="1:15" hidden="1">
      <c r="B50" s="11">
        <f t="shared" ref="B50:N50" si="4">+B49/B9</f>
        <v>0.19976635514018692</v>
      </c>
      <c r="C50" s="11">
        <f t="shared" si="4"/>
        <v>0.2170846394984326</v>
      </c>
      <c r="D50" s="11">
        <f t="shared" si="4"/>
        <v>0.24328147100424327</v>
      </c>
      <c r="E50" s="11">
        <f t="shared" si="4"/>
        <v>0.29530434782608694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 t="e">
        <f t="shared" si="4"/>
        <v>#DIV/0!</v>
      </c>
      <c r="J50" s="11" t="e">
        <f t="shared" si="4"/>
        <v>#DIV/0!</v>
      </c>
      <c r="K50" s="11" t="e">
        <f t="shared" si="4"/>
        <v>#DIV/0!</v>
      </c>
      <c r="L50" s="11" t="e">
        <f t="shared" si="4"/>
        <v>#DIV/0!</v>
      </c>
      <c r="M50" s="11" t="e">
        <f t="shared" si="4"/>
        <v>#DIV/0!</v>
      </c>
      <c r="N50" s="11">
        <f t="shared" si="4"/>
        <v>0.11538685113061675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>
      <selection activeCell="D11" sqref="D11"/>
    </sheetView>
  </sheetViews>
  <sheetFormatPr defaultColWidth="9.140625" defaultRowHeight="12.75"/>
  <cols>
    <col min="1" max="1" width="2.42578125" style="127" customWidth="1"/>
    <col min="2" max="2" width="8.85546875" style="127" customWidth="1"/>
    <col min="3" max="3" width="16.7109375" style="127" customWidth="1"/>
    <col min="4" max="4" width="9.5703125" style="127" customWidth="1"/>
    <col min="5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01" t="s">
        <v>114</v>
      </c>
      <c r="C2" s="201"/>
      <c r="D2" s="201"/>
      <c r="E2" s="201"/>
      <c r="F2" s="201"/>
      <c r="G2" s="201"/>
      <c r="H2" s="201"/>
      <c r="I2" s="126"/>
      <c r="J2" s="202" t="s">
        <v>116</v>
      </c>
      <c r="K2" s="202"/>
      <c r="L2" s="202"/>
      <c r="M2" s="202"/>
      <c r="N2" s="202"/>
      <c r="O2" s="202"/>
      <c r="P2" s="202"/>
      <c r="R2" s="202" t="s">
        <v>117</v>
      </c>
      <c r="S2" s="202"/>
      <c r="T2" s="202"/>
      <c r="U2" s="202"/>
      <c r="V2" s="202"/>
      <c r="W2" s="202"/>
      <c r="X2" s="202"/>
    </row>
    <row r="3" spans="2:24" ht="15" customHeight="1">
      <c r="B3" s="203" t="s">
        <v>64</v>
      </c>
      <c r="C3" s="205" t="s">
        <v>67</v>
      </c>
      <c r="D3" s="207" t="s">
        <v>157</v>
      </c>
      <c r="E3" s="208"/>
      <c r="F3" s="208"/>
      <c r="G3" s="208"/>
      <c r="H3" s="209"/>
      <c r="I3" s="128"/>
      <c r="J3" s="203" t="s">
        <v>68</v>
      </c>
      <c r="K3" s="211" t="s">
        <v>67</v>
      </c>
      <c r="L3" s="207" t="str">
        <f>D3</f>
        <v>Styczeń-Lipiec</v>
      </c>
      <c r="M3" s="208"/>
      <c r="N3" s="208"/>
      <c r="O3" s="208"/>
      <c r="P3" s="209"/>
      <c r="R3" s="203" t="s">
        <v>70</v>
      </c>
      <c r="S3" s="211" t="s">
        <v>67</v>
      </c>
      <c r="T3" s="207" t="str">
        <f>L3</f>
        <v>Styczeń-Lipiec</v>
      </c>
      <c r="U3" s="208"/>
      <c r="V3" s="208"/>
      <c r="W3" s="208"/>
      <c r="X3" s="209"/>
    </row>
    <row r="4" spans="2:24" ht="15" customHeight="1">
      <c r="B4" s="204"/>
      <c r="C4" s="206"/>
      <c r="D4" s="93">
        <v>2022</v>
      </c>
      <c r="E4" s="94" t="s">
        <v>65</v>
      </c>
      <c r="F4" s="93">
        <v>2021</v>
      </c>
      <c r="G4" s="94" t="s">
        <v>65</v>
      </c>
      <c r="H4" s="183" t="s">
        <v>66</v>
      </c>
      <c r="I4" s="129"/>
      <c r="J4" s="210"/>
      <c r="K4" s="212"/>
      <c r="L4" s="214">
        <f>D4</f>
        <v>2022</v>
      </c>
      <c r="M4" s="214">
        <f>F4</f>
        <v>2021</v>
      </c>
      <c r="N4" s="216" t="s">
        <v>71</v>
      </c>
      <c r="O4" s="216" t="s">
        <v>115</v>
      </c>
      <c r="P4" s="216" t="s">
        <v>87</v>
      </c>
      <c r="R4" s="210"/>
      <c r="S4" s="212"/>
      <c r="T4" s="214">
        <v>2022</v>
      </c>
      <c r="U4" s="214">
        <v>2021</v>
      </c>
      <c r="V4" s="216" t="s">
        <v>71</v>
      </c>
      <c r="W4" s="216" t="s">
        <v>115</v>
      </c>
      <c r="X4" s="216" t="s">
        <v>87</v>
      </c>
    </row>
    <row r="5" spans="2:24" ht="12.75" customHeight="1">
      <c r="B5" s="141">
        <v>1</v>
      </c>
      <c r="C5" s="163" t="s">
        <v>36</v>
      </c>
      <c r="D5" s="148">
        <v>3218</v>
      </c>
      <c r="E5" s="132">
        <v>0.18706039644248096</v>
      </c>
      <c r="F5" s="148">
        <v>2468</v>
      </c>
      <c r="G5" s="132">
        <v>0.16838370744354234</v>
      </c>
      <c r="H5" s="164">
        <v>0.30388978930307942</v>
      </c>
      <c r="J5" s="204"/>
      <c r="K5" s="213"/>
      <c r="L5" s="215"/>
      <c r="M5" s="215"/>
      <c r="N5" s="215"/>
      <c r="O5" s="215"/>
      <c r="P5" s="215"/>
      <c r="R5" s="204"/>
      <c r="S5" s="213"/>
      <c r="T5" s="215"/>
      <c r="U5" s="215"/>
      <c r="V5" s="215"/>
      <c r="W5" s="215"/>
      <c r="X5" s="215"/>
    </row>
    <row r="6" spans="2:24" ht="15">
      <c r="B6" s="143">
        <v>2</v>
      </c>
      <c r="C6" s="165" t="s">
        <v>35</v>
      </c>
      <c r="D6" s="149">
        <v>1978</v>
      </c>
      <c r="E6" s="120">
        <v>0.11497994535836772</v>
      </c>
      <c r="F6" s="149">
        <v>1646</v>
      </c>
      <c r="G6" s="120">
        <v>0.1123012894862523</v>
      </c>
      <c r="H6" s="166">
        <v>0.20170109356014576</v>
      </c>
      <c r="J6" s="102" t="s">
        <v>44</v>
      </c>
      <c r="K6" s="82" t="s">
        <v>37</v>
      </c>
      <c r="L6" s="178">
        <v>1392</v>
      </c>
      <c r="M6" s="180">
        <v>751</v>
      </c>
      <c r="N6" s="83">
        <f t="shared" ref="N6:N42" si="0">IFERROR(L6/M6-1,"")</f>
        <v>0.85352862849533961</v>
      </c>
      <c r="O6" s="95"/>
      <c r="P6" s="95"/>
      <c r="R6" s="102" t="s">
        <v>58</v>
      </c>
      <c r="S6" s="82" t="s">
        <v>36</v>
      </c>
      <c r="T6" s="169">
        <v>1330</v>
      </c>
      <c r="U6" s="171">
        <v>992</v>
      </c>
      <c r="V6" s="83">
        <f t="shared" ref="V6:V47" si="1">IFERROR(T6/U6-1,"")</f>
        <v>0.34072580645161299</v>
      </c>
      <c r="W6" s="95"/>
      <c r="X6" s="95"/>
    </row>
    <row r="7" spans="2:24" ht="15">
      <c r="B7" s="143">
        <v>3</v>
      </c>
      <c r="C7" s="165" t="s">
        <v>2</v>
      </c>
      <c r="D7" s="149">
        <v>1717</v>
      </c>
      <c r="E7" s="120">
        <v>9.9808172993082603E-2</v>
      </c>
      <c r="F7" s="149">
        <v>1853</v>
      </c>
      <c r="G7" s="120">
        <v>0.12642423415432899</v>
      </c>
      <c r="H7" s="166">
        <v>-7.3394495412844041E-2</v>
      </c>
      <c r="J7" s="103"/>
      <c r="K7" s="84" t="s">
        <v>36</v>
      </c>
      <c r="L7" s="179">
        <v>1390</v>
      </c>
      <c r="M7" s="181">
        <v>1019</v>
      </c>
      <c r="N7" s="85">
        <f t="shared" si="0"/>
        <v>0.36408243375858684</v>
      </c>
      <c r="O7" s="96"/>
      <c r="P7" s="96"/>
      <c r="R7" s="103"/>
      <c r="S7" s="84" t="s">
        <v>35</v>
      </c>
      <c r="T7" s="170">
        <v>644</v>
      </c>
      <c r="U7" s="172">
        <v>558</v>
      </c>
      <c r="V7" s="85">
        <f t="shared" si="1"/>
        <v>0.15412186379928317</v>
      </c>
      <c r="W7" s="96"/>
      <c r="X7" s="96"/>
    </row>
    <row r="8" spans="2:24" ht="15">
      <c r="B8" s="143">
        <v>4</v>
      </c>
      <c r="C8" s="165" t="s">
        <v>37</v>
      </c>
      <c r="D8" s="149">
        <v>1392</v>
      </c>
      <c r="E8" s="120">
        <v>8.0916119281520663E-2</v>
      </c>
      <c r="F8" s="149">
        <v>751</v>
      </c>
      <c r="G8" s="120">
        <v>5.1238316162925568E-2</v>
      </c>
      <c r="H8" s="166">
        <v>0.85352862849533961</v>
      </c>
      <c r="J8" s="103"/>
      <c r="K8" s="84" t="s">
        <v>35</v>
      </c>
      <c r="L8" s="179">
        <v>749</v>
      </c>
      <c r="M8" s="181">
        <v>618</v>
      </c>
      <c r="N8" s="85">
        <f t="shared" si="0"/>
        <v>0.21197411003236244</v>
      </c>
      <c r="O8" s="96"/>
      <c r="P8" s="96"/>
      <c r="R8" s="103"/>
      <c r="S8" s="84" t="s">
        <v>97</v>
      </c>
      <c r="T8" s="170">
        <v>474</v>
      </c>
      <c r="U8" s="172">
        <v>390</v>
      </c>
      <c r="V8" s="85">
        <f t="shared" si="1"/>
        <v>0.21538461538461529</v>
      </c>
      <c r="W8" s="96"/>
      <c r="X8" s="96"/>
    </row>
    <row r="9" spans="2:24">
      <c r="B9" s="143">
        <v>5</v>
      </c>
      <c r="C9" s="165" t="s">
        <v>83</v>
      </c>
      <c r="D9" s="149">
        <v>664</v>
      </c>
      <c r="E9" s="160">
        <v>3.8597918967621929E-2</v>
      </c>
      <c r="F9" s="149">
        <v>650</v>
      </c>
      <c r="G9" s="160">
        <v>4.4347410793477517E-2</v>
      </c>
      <c r="H9" s="166">
        <v>2.1538461538461506E-2</v>
      </c>
      <c r="J9" s="102"/>
      <c r="K9" s="102" t="s">
        <v>45</v>
      </c>
      <c r="L9" s="177">
        <f>+L10-SUM(L6:L8)</f>
        <v>4111</v>
      </c>
      <c r="M9" s="177">
        <f>+M10-SUM(M6:M8)</f>
        <v>3697</v>
      </c>
      <c r="N9" s="86">
        <f t="shared" si="0"/>
        <v>0.11198268866648631</v>
      </c>
      <c r="O9" s="104"/>
      <c r="P9" s="104"/>
      <c r="R9" s="102"/>
      <c r="S9" s="102" t="s">
        <v>45</v>
      </c>
      <c r="T9" s="177">
        <f>+T10-SUM(T6:T8)</f>
        <v>1567</v>
      </c>
      <c r="U9" s="177">
        <f>+U10-SUM(U6:U8)</f>
        <v>1126</v>
      </c>
      <c r="V9" s="86">
        <f t="shared" si="1"/>
        <v>0.39165186500888094</v>
      </c>
      <c r="W9" s="104"/>
      <c r="X9" s="104"/>
    </row>
    <row r="10" spans="2:24">
      <c r="B10" s="143">
        <v>6</v>
      </c>
      <c r="C10" s="165" t="s">
        <v>105</v>
      </c>
      <c r="D10" s="149">
        <v>618</v>
      </c>
      <c r="E10" s="160">
        <v>3.5923966749985464E-2</v>
      </c>
      <c r="F10" s="149">
        <v>388</v>
      </c>
      <c r="G10" s="160">
        <v>2.6471992904414272E-2</v>
      </c>
      <c r="H10" s="166">
        <v>0.59278350515463907</v>
      </c>
      <c r="J10" s="105" t="s">
        <v>46</v>
      </c>
      <c r="K10" s="106"/>
      <c r="L10" s="158">
        <v>7642</v>
      </c>
      <c r="M10" s="158">
        <v>6085</v>
      </c>
      <c r="N10" s="98">
        <f t="shared" si="0"/>
        <v>0.25587510271158598</v>
      </c>
      <c r="O10" s="117">
        <f>L10/$L$42</f>
        <v>0.44422484450386562</v>
      </c>
      <c r="P10" s="117">
        <f>M10/$M$42</f>
        <v>0.41515999181278568</v>
      </c>
      <c r="R10" s="105" t="str">
        <f>R6&amp;" Suma"</f>
        <v>BIG SCOOTER Suma</v>
      </c>
      <c r="S10" s="106"/>
      <c r="T10" s="158">
        <v>4015</v>
      </c>
      <c r="U10" s="158">
        <v>3066</v>
      </c>
      <c r="V10" s="98">
        <f t="shared" si="1"/>
        <v>0.30952380952380953</v>
      </c>
      <c r="W10" s="117">
        <f>T10/$L$42</f>
        <v>0.23338952508283439</v>
      </c>
      <c r="X10" s="117">
        <f>U10/$M$42</f>
        <v>0.20918332537354165</v>
      </c>
    </row>
    <row r="11" spans="2:24" ht="15">
      <c r="B11" s="143">
        <v>7</v>
      </c>
      <c r="C11" s="165" t="s">
        <v>57</v>
      </c>
      <c r="D11" s="149">
        <v>615</v>
      </c>
      <c r="E11" s="120">
        <v>3.5749578561878742E-2</v>
      </c>
      <c r="F11" s="149">
        <v>735</v>
      </c>
      <c r="G11" s="120">
        <v>5.0146687589547656E-2</v>
      </c>
      <c r="H11" s="166">
        <v>-0.16326530612244894</v>
      </c>
      <c r="J11" s="102" t="s">
        <v>47</v>
      </c>
      <c r="K11" s="173" t="s">
        <v>41</v>
      </c>
      <c r="L11" s="178">
        <v>58</v>
      </c>
      <c r="M11" s="180">
        <v>52</v>
      </c>
      <c r="N11" s="83">
        <f t="shared" si="0"/>
        <v>0.11538461538461542</v>
      </c>
      <c r="O11" s="95"/>
      <c r="P11" s="95"/>
      <c r="R11" s="102" t="s">
        <v>59</v>
      </c>
      <c r="S11" s="173" t="s">
        <v>37</v>
      </c>
      <c r="T11" s="169">
        <v>593</v>
      </c>
      <c r="U11" s="171">
        <v>477</v>
      </c>
      <c r="V11" s="83">
        <f t="shared" si="1"/>
        <v>0.24318658280922434</v>
      </c>
      <c r="W11" s="95"/>
      <c r="X11" s="95"/>
    </row>
    <row r="12" spans="2:24" ht="15">
      <c r="B12" s="143">
        <v>8</v>
      </c>
      <c r="C12" s="165" t="s">
        <v>41</v>
      </c>
      <c r="D12" s="149">
        <v>606</v>
      </c>
      <c r="E12" s="120">
        <v>3.5226413997558569E-2</v>
      </c>
      <c r="F12" s="149">
        <v>595</v>
      </c>
      <c r="G12" s="120">
        <v>4.0594937572490962E-2</v>
      </c>
      <c r="H12" s="166">
        <v>1.8487394957983128E-2</v>
      </c>
      <c r="J12" s="103"/>
      <c r="K12" s="174" t="s">
        <v>78</v>
      </c>
      <c r="L12" s="179">
        <v>29</v>
      </c>
      <c r="M12" s="181">
        <v>35</v>
      </c>
      <c r="N12" s="85">
        <f t="shared" si="0"/>
        <v>-0.17142857142857137</v>
      </c>
      <c r="O12" s="96"/>
      <c r="P12" s="96"/>
      <c r="R12" s="103"/>
      <c r="S12" s="174" t="s">
        <v>145</v>
      </c>
      <c r="T12" s="170">
        <v>222</v>
      </c>
      <c r="U12" s="172">
        <v>121</v>
      </c>
      <c r="V12" s="85">
        <f t="shared" si="1"/>
        <v>0.834710743801653</v>
      </c>
      <c r="W12" s="96"/>
      <c r="X12" s="96"/>
    </row>
    <row r="13" spans="2:24" ht="15">
      <c r="B13" s="143">
        <v>9</v>
      </c>
      <c r="C13" s="165" t="s">
        <v>146</v>
      </c>
      <c r="D13" s="149">
        <v>580</v>
      </c>
      <c r="E13" s="120">
        <v>3.3715049700633611E-2</v>
      </c>
      <c r="F13" s="149">
        <v>284</v>
      </c>
      <c r="G13" s="120">
        <v>1.937640717745787E-2</v>
      </c>
      <c r="H13" s="166">
        <v>1.0422535211267605</v>
      </c>
      <c r="J13" s="103"/>
      <c r="K13" s="174" t="s">
        <v>151</v>
      </c>
      <c r="L13" s="179">
        <v>23</v>
      </c>
      <c r="M13" s="181">
        <v>23</v>
      </c>
      <c r="N13" s="85">
        <f t="shared" si="0"/>
        <v>0</v>
      </c>
      <c r="O13" s="96"/>
      <c r="P13" s="96"/>
      <c r="R13" s="103"/>
      <c r="S13" s="174" t="s">
        <v>36</v>
      </c>
      <c r="T13" s="170">
        <v>178</v>
      </c>
      <c r="U13" s="172">
        <v>143</v>
      </c>
      <c r="V13" s="85">
        <f t="shared" si="1"/>
        <v>0.24475524475524479</v>
      </c>
      <c r="W13" s="96"/>
      <c r="X13" s="96"/>
    </row>
    <row r="14" spans="2:24">
      <c r="B14" s="143">
        <v>10</v>
      </c>
      <c r="C14" s="167" t="s">
        <v>80</v>
      </c>
      <c r="D14" s="152">
        <v>578</v>
      </c>
      <c r="E14" s="154">
        <v>3.3598790908562458E-2</v>
      </c>
      <c r="F14" s="152">
        <v>529</v>
      </c>
      <c r="G14" s="154">
        <v>3.6091969707307089E-2</v>
      </c>
      <c r="H14" s="168">
        <v>9.2627599243856329E-2</v>
      </c>
      <c r="J14" s="102"/>
      <c r="K14" s="102" t="s">
        <v>45</v>
      </c>
      <c r="L14" s="177">
        <f>+L15-SUM(L11:L13)</f>
        <v>49</v>
      </c>
      <c r="M14" s="177">
        <f>+M15-SUM(M11:M13)</f>
        <v>73</v>
      </c>
      <c r="N14" s="86">
        <f t="shared" si="0"/>
        <v>-0.32876712328767121</v>
      </c>
      <c r="O14" s="104"/>
      <c r="P14" s="104"/>
      <c r="R14" s="102"/>
      <c r="S14" s="102" t="s">
        <v>45</v>
      </c>
      <c r="T14" s="177">
        <f>+T15-SUM(T11:T13)</f>
        <v>603</v>
      </c>
      <c r="U14" s="177">
        <f>+U15-SUM(U11:U13)</f>
        <v>638</v>
      </c>
      <c r="V14" s="86">
        <f t="shared" si="1"/>
        <v>-5.4858934169279006E-2</v>
      </c>
      <c r="W14" s="104"/>
      <c r="X14" s="104"/>
    </row>
    <row r="15" spans="2:24">
      <c r="B15" s="219" t="s">
        <v>42</v>
      </c>
      <c r="C15" s="220"/>
      <c r="D15" s="159">
        <f>SUM(D5:D14)</f>
        <v>11966</v>
      </c>
      <c r="E15" s="110">
        <f>SUM(E5:E14)</f>
        <v>0.69557635296169273</v>
      </c>
      <c r="F15" s="159">
        <f>SUM(F5:F14)</f>
        <v>9899</v>
      </c>
      <c r="G15" s="110">
        <f>SUM(G5:G14)</f>
        <v>0.67537695299174472</v>
      </c>
      <c r="H15" s="101">
        <f>+D15/F15-1</f>
        <v>0.20880897060309112</v>
      </c>
      <c r="J15" s="105" t="s">
        <v>48</v>
      </c>
      <c r="K15" s="106"/>
      <c r="L15" s="158">
        <v>159</v>
      </c>
      <c r="M15" s="158">
        <v>183</v>
      </c>
      <c r="N15" s="98">
        <f t="shared" si="0"/>
        <v>-0.13114754098360659</v>
      </c>
      <c r="O15" s="117">
        <f>L15/$L$42</f>
        <v>9.2425739696564545E-3</v>
      </c>
      <c r="P15" s="117">
        <f>M15/$M$42</f>
        <v>1.2485501808009825E-2</v>
      </c>
      <c r="R15" s="105" t="str">
        <f>R11&amp;" Suma"</f>
        <v>CHOPPER &amp; CRUISER Suma</v>
      </c>
      <c r="S15" s="106"/>
      <c r="T15" s="158">
        <v>1596</v>
      </c>
      <c r="U15" s="158">
        <v>1379</v>
      </c>
      <c r="V15" s="98">
        <f t="shared" si="1"/>
        <v>0.15736040609137047</v>
      </c>
      <c r="W15" s="117">
        <f>T15/$L$42</f>
        <v>9.2774516072778007E-2</v>
      </c>
      <c r="X15" s="117">
        <f>U15/$M$42</f>
        <v>9.4084737668008456E-2</v>
      </c>
    </row>
    <row r="16" spans="2:24" ht="15">
      <c r="B16" s="221" t="s">
        <v>43</v>
      </c>
      <c r="C16" s="221"/>
      <c r="D16" s="176">
        <f>+D17-D15</f>
        <v>5237</v>
      </c>
      <c r="E16" s="110">
        <f>+D16/D17</f>
        <v>0.30442364703830727</v>
      </c>
      <c r="F16" s="176">
        <f>+F17-F15</f>
        <v>4758</v>
      </c>
      <c r="G16" s="110">
        <f>+F16/F17</f>
        <v>0.32462304700825545</v>
      </c>
      <c r="H16" s="100">
        <f>+D16/F16-1</f>
        <v>0.10067255149222354</v>
      </c>
      <c r="J16" s="102" t="s">
        <v>49</v>
      </c>
      <c r="K16" s="82" t="s">
        <v>36</v>
      </c>
      <c r="L16" s="169">
        <v>811</v>
      </c>
      <c r="M16" s="171">
        <v>518</v>
      </c>
      <c r="N16" s="83">
        <f t="shared" si="0"/>
        <v>0.56563706563706573</v>
      </c>
      <c r="O16" s="95"/>
      <c r="P16" s="95"/>
      <c r="R16" s="102" t="s">
        <v>60</v>
      </c>
      <c r="S16" s="173" t="s">
        <v>36</v>
      </c>
      <c r="T16" s="169">
        <v>644</v>
      </c>
      <c r="U16" s="171">
        <v>454</v>
      </c>
      <c r="V16" s="83">
        <f t="shared" si="1"/>
        <v>0.41850220264317173</v>
      </c>
      <c r="W16" s="95"/>
      <c r="X16" s="95"/>
    </row>
    <row r="17" spans="2:24" ht="15">
      <c r="B17" s="222" t="s">
        <v>18</v>
      </c>
      <c r="C17" s="222"/>
      <c r="D17" s="145">
        <v>17203</v>
      </c>
      <c r="E17" s="138">
        <v>1</v>
      </c>
      <c r="F17" s="145">
        <v>14657</v>
      </c>
      <c r="G17" s="139">
        <v>1.0000000000000002</v>
      </c>
      <c r="H17" s="140">
        <f>D17/F17-1</f>
        <v>0.17370539673875962</v>
      </c>
      <c r="J17" s="103"/>
      <c r="K17" s="84" t="s">
        <v>83</v>
      </c>
      <c r="L17" s="170">
        <v>324</v>
      </c>
      <c r="M17" s="172">
        <v>394</v>
      </c>
      <c r="N17" s="85">
        <f t="shared" si="0"/>
        <v>-0.17766497461928932</v>
      </c>
      <c r="O17" s="96"/>
      <c r="P17" s="96"/>
      <c r="R17" s="103"/>
      <c r="S17" s="174" t="s">
        <v>57</v>
      </c>
      <c r="T17" s="170">
        <v>604</v>
      </c>
      <c r="U17" s="172">
        <v>615</v>
      </c>
      <c r="V17" s="85">
        <f t="shared" si="1"/>
        <v>-1.7886178861788671E-2</v>
      </c>
      <c r="W17" s="96"/>
      <c r="X17" s="96"/>
    </row>
    <row r="18" spans="2:24" ht="15">
      <c r="B18" s="223" t="s">
        <v>104</v>
      </c>
      <c r="C18" s="223"/>
      <c r="D18" s="223"/>
      <c r="E18" s="223"/>
      <c r="F18" s="223"/>
      <c r="G18" s="223"/>
      <c r="H18" s="223"/>
      <c r="J18" s="103"/>
      <c r="K18" s="84" t="s">
        <v>41</v>
      </c>
      <c r="L18" s="170">
        <v>257</v>
      </c>
      <c r="M18" s="172">
        <v>221</v>
      </c>
      <c r="N18" s="85">
        <f t="shared" si="0"/>
        <v>0.16289592760181004</v>
      </c>
      <c r="O18" s="96"/>
      <c r="P18" s="96"/>
      <c r="R18" s="103"/>
      <c r="S18" s="184" t="s">
        <v>35</v>
      </c>
      <c r="T18" s="170">
        <v>577</v>
      </c>
      <c r="U18" s="172">
        <v>494</v>
      </c>
      <c r="V18" s="85">
        <f t="shared" si="1"/>
        <v>0.16801619433198378</v>
      </c>
      <c r="W18" s="96"/>
      <c r="X18" s="96"/>
    </row>
    <row r="19" spans="2:24">
      <c r="B19" s="224" t="s">
        <v>73</v>
      </c>
      <c r="C19" s="224"/>
      <c r="D19" s="224"/>
      <c r="E19" s="224"/>
      <c r="F19" s="224"/>
      <c r="G19" s="224"/>
      <c r="H19" s="224"/>
      <c r="J19" s="102"/>
      <c r="K19" s="107" t="s">
        <v>45</v>
      </c>
      <c r="L19" s="177">
        <f>+L20-SUM(L16:L18)</f>
        <v>1086</v>
      </c>
      <c r="M19" s="177">
        <f>+M20-SUM(M16:M18)</f>
        <v>1002</v>
      </c>
      <c r="N19" s="86">
        <f t="shared" si="0"/>
        <v>8.3832335329341312E-2</v>
      </c>
      <c r="O19" s="104"/>
      <c r="P19" s="104"/>
      <c r="R19" s="102"/>
      <c r="S19" s="107" t="s">
        <v>45</v>
      </c>
      <c r="T19" s="177">
        <f>+T20-SUM(T16:T18)</f>
        <v>3563</v>
      </c>
      <c r="U19" s="177">
        <f>+U20-SUM(U16:U18)</f>
        <v>3038</v>
      </c>
      <c r="V19" s="86">
        <f t="shared" si="1"/>
        <v>0.17281105990783407</v>
      </c>
      <c r="W19" s="104"/>
      <c r="X19" s="104"/>
    </row>
    <row r="20" spans="2:24">
      <c r="B20" s="224"/>
      <c r="C20" s="224"/>
      <c r="D20" s="224"/>
      <c r="E20" s="224"/>
      <c r="F20" s="224"/>
      <c r="G20" s="224"/>
      <c r="H20" s="224"/>
      <c r="J20" s="115" t="s">
        <v>50</v>
      </c>
      <c r="K20" s="108"/>
      <c r="L20" s="158">
        <v>2478</v>
      </c>
      <c r="M20" s="158">
        <v>2135</v>
      </c>
      <c r="N20" s="98">
        <f t="shared" si="0"/>
        <v>0.16065573770491803</v>
      </c>
      <c r="O20" s="117">
        <f>L20/$L$42</f>
        <v>0.14404464337615533</v>
      </c>
      <c r="P20" s="117">
        <f>M20/$M$42</f>
        <v>0.14566418776011461</v>
      </c>
      <c r="R20" s="105" t="str">
        <f>R16&amp;" Suma"</f>
        <v>STREET Suma</v>
      </c>
      <c r="S20" s="116"/>
      <c r="T20" s="158">
        <v>5388</v>
      </c>
      <c r="U20" s="158">
        <v>4601</v>
      </c>
      <c r="V20" s="98">
        <f t="shared" si="1"/>
        <v>0.17104977178874159</v>
      </c>
      <c r="W20" s="117">
        <f>T20/$L$42</f>
        <v>0.31320118583967915</v>
      </c>
      <c r="X20" s="117">
        <f>U20/$M$42</f>
        <v>0.3139114416319847</v>
      </c>
    </row>
    <row r="21" spans="2:24" ht="12.75" customHeight="1">
      <c r="J21" s="102" t="s">
        <v>51</v>
      </c>
      <c r="K21" s="173" t="s">
        <v>35</v>
      </c>
      <c r="L21" s="169">
        <v>785</v>
      </c>
      <c r="M21" s="171">
        <v>569</v>
      </c>
      <c r="N21" s="83">
        <f t="shared" si="0"/>
        <v>0.37961335676625652</v>
      </c>
      <c r="O21" s="95"/>
      <c r="P21" s="95"/>
      <c r="R21" s="103" t="s">
        <v>99</v>
      </c>
      <c r="S21" s="173" t="s">
        <v>38</v>
      </c>
      <c r="T21" s="169">
        <v>38</v>
      </c>
      <c r="U21" s="171">
        <v>40</v>
      </c>
      <c r="V21" s="83">
        <f t="shared" si="1"/>
        <v>-5.0000000000000044E-2</v>
      </c>
      <c r="W21" s="95"/>
      <c r="X21" s="95"/>
    </row>
    <row r="22" spans="2:24" ht="15">
      <c r="J22" s="103"/>
      <c r="K22" s="174" t="s">
        <v>36</v>
      </c>
      <c r="L22" s="170">
        <v>469</v>
      </c>
      <c r="M22" s="172">
        <v>494</v>
      </c>
      <c r="N22" s="85">
        <f t="shared" si="0"/>
        <v>-5.0607287449392691E-2</v>
      </c>
      <c r="O22" s="96"/>
      <c r="P22" s="96"/>
      <c r="R22" s="103"/>
      <c r="S22" s="174" t="s">
        <v>40</v>
      </c>
      <c r="T22" s="170">
        <v>26</v>
      </c>
      <c r="U22" s="172">
        <v>35</v>
      </c>
      <c r="V22" s="85">
        <f t="shared" si="1"/>
        <v>-0.25714285714285712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4" t="s">
        <v>38</v>
      </c>
      <c r="L23" s="170">
        <v>250</v>
      </c>
      <c r="M23" s="172">
        <v>279</v>
      </c>
      <c r="N23" s="85">
        <f t="shared" si="0"/>
        <v>-0.10394265232974909</v>
      </c>
      <c r="O23" s="96"/>
      <c r="P23" s="96"/>
      <c r="R23" s="103"/>
      <c r="S23" s="174" t="s">
        <v>2</v>
      </c>
      <c r="T23" s="170">
        <v>21</v>
      </c>
      <c r="U23" s="172">
        <v>31</v>
      </c>
      <c r="V23" s="85">
        <f t="shared" si="1"/>
        <v>-0.32258064516129037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177">
        <f>+L25-SUM(L21:L23)</f>
        <v>586</v>
      </c>
      <c r="M24" s="177">
        <f>+M25-SUM(M21:M23)</f>
        <v>481</v>
      </c>
      <c r="N24" s="86">
        <f t="shared" si="0"/>
        <v>0.21829521829521825</v>
      </c>
      <c r="O24" s="104"/>
      <c r="P24" s="104"/>
      <c r="R24" s="102"/>
      <c r="S24" s="107" t="s">
        <v>45</v>
      </c>
      <c r="T24" s="177">
        <f>+T25-SUM(T21:T23)</f>
        <v>3</v>
      </c>
      <c r="U24" s="177">
        <f>+U25-SUM(U21:U23)</f>
        <v>19</v>
      </c>
      <c r="V24" s="86">
        <f t="shared" si="1"/>
        <v>-0.84210526315789469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2090</v>
      </c>
      <c r="M25" s="158">
        <v>1823</v>
      </c>
      <c r="N25" s="98">
        <f t="shared" si="0"/>
        <v>0.14646187602852434</v>
      </c>
      <c r="O25" s="117">
        <f>L25/$L$42</f>
        <v>0.12149043771435215</v>
      </c>
      <c r="P25" s="117">
        <f>M25/$M$42</f>
        <v>0.12437743057924541</v>
      </c>
      <c r="R25" s="105" t="str">
        <f>R21&amp;" Suma"</f>
        <v>SPORT-TOURER Suma</v>
      </c>
      <c r="S25" s="108"/>
      <c r="T25" s="158">
        <v>88</v>
      </c>
      <c r="U25" s="158">
        <v>125</v>
      </c>
      <c r="V25" s="98">
        <f t="shared" si="1"/>
        <v>-0.29600000000000004</v>
      </c>
      <c r="W25" s="117">
        <f>T25/$L$42</f>
        <v>5.1153868511306169E-3</v>
      </c>
      <c r="X25" s="117">
        <f>U25/$M$42</f>
        <v>8.5283482295149069E-3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147</v>
      </c>
      <c r="K26" s="82" t="s">
        <v>2</v>
      </c>
      <c r="L26" s="169">
        <v>402</v>
      </c>
      <c r="M26" s="171">
        <v>566</v>
      </c>
      <c r="N26" s="83">
        <f t="shared" si="0"/>
        <v>-0.28975265017667839</v>
      </c>
      <c r="O26" s="95"/>
      <c r="P26" s="95"/>
      <c r="R26" s="109" t="s">
        <v>61</v>
      </c>
      <c r="S26" s="173" t="s">
        <v>36</v>
      </c>
      <c r="T26" s="169">
        <v>165</v>
      </c>
      <c r="U26" s="171">
        <v>87</v>
      </c>
      <c r="V26" s="85">
        <f t="shared" si="1"/>
        <v>0.89655172413793105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105</v>
      </c>
      <c r="L27" s="170">
        <v>260</v>
      </c>
      <c r="M27" s="172">
        <v>187</v>
      </c>
      <c r="N27" s="85">
        <f t="shared" si="0"/>
        <v>0.39037433155080214</v>
      </c>
      <c r="O27" s="96"/>
      <c r="P27" s="96"/>
      <c r="Q27" s="175"/>
      <c r="R27" s="103"/>
      <c r="S27" s="174" t="s">
        <v>35</v>
      </c>
      <c r="T27" s="170">
        <v>153</v>
      </c>
      <c r="U27" s="172">
        <v>147</v>
      </c>
      <c r="V27" s="85">
        <f t="shared" si="1"/>
        <v>4.081632653061229E-2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35</v>
      </c>
      <c r="L28" s="170">
        <v>251</v>
      </c>
      <c r="M28" s="172">
        <v>259</v>
      </c>
      <c r="N28" s="85">
        <f t="shared" si="0"/>
        <v>-3.0888030888030937E-2</v>
      </c>
      <c r="O28" s="96"/>
      <c r="P28" s="96"/>
      <c r="R28" s="103"/>
      <c r="S28" s="174" t="s">
        <v>144</v>
      </c>
      <c r="T28" s="170">
        <v>78</v>
      </c>
      <c r="U28" s="172">
        <v>61</v>
      </c>
      <c r="V28" s="85">
        <f t="shared" si="1"/>
        <v>0.27868852459016402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177">
        <f>+L30-SUM(L26:L28)</f>
        <v>702</v>
      </c>
      <c r="M29" s="177">
        <f>+M30-SUM(M26:M28)</f>
        <v>601</v>
      </c>
      <c r="N29" s="86">
        <f t="shared" si="0"/>
        <v>0.16805324459234616</v>
      </c>
      <c r="O29" s="104"/>
      <c r="P29" s="104"/>
      <c r="R29" s="102"/>
      <c r="S29" s="102" t="s">
        <v>45</v>
      </c>
      <c r="T29" s="177">
        <f>+T30-SUM(T26:T28)</f>
        <v>160</v>
      </c>
      <c r="U29" s="177">
        <f>+U30-SUM(U26:U28)</f>
        <v>171</v>
      </c>
      <c r="V29" s="86">
        <f t="shared" si="1"/>
        <v>-6.4327485380117011E-2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148</v>
      </c>
      <c r="K30" s="113"/>
      <c r="L30" s="158">
        <v>1615</v>
      </c>
      <c r="M30" s="158">
        <v>1613</v>
      </c>
      <c r="N30" s="98">
        <f t="shared" si="0"/>
        <v>1.2399256044637319E-3</v>
      </c>
      <c r="O30" s="117">
        <f>L30/$L$42</f>
        <v>9.3878974597453937E-2</v>
      </c>
      <c r="P30" s="117">
        <f>M30/$M$42</f>
        <v>0.11004980555366037</v>
      </c>
      <c r="R30" s="105" t="str">
        <f>R26&amp;" Suma"</f>
        <v>SUPERSPORT Suma</v>
      </c>
      <c r="S30" s="106"/>
      <c r="T30" s="158">
        <v>556</v>
      </c>
      <c r="U30" s="158">
        <v>466</v>
      </c>
      <c r="V30" s="98">
        <f t="shared" si="1"/>
        <v>0.19313304721030033</v>
      </c>
      <c r="W30" s="117">
        <f>T30/$L$42</f>
        <v>3.2319944195779805E-2</v>
      </c>
      <c r="X30" s="117">
        <f>U30/$M$42</f>
        <v>3.1793682199631579E-2</v>
      </c>
    </row>
    <row r="31" spans="2:24" ht="15">
      <c r="B31" s="111"/>
      <c r="C31" s="111"/>
      <c r="D31" s="111"/>
      <c r="E31" s="111"/>
      <c r="F31" s="111"/>
      <c r="G31" s="111"/>
      <c r="H31" s="111"/>
      <c r="J31" s="109" t="s">
        <v>149</v>
      </c>
      <c r="K31" s="82" t="s">
        <v>2</v>
      </c>
      <c r="L31" s="169">
        <v>1053</v>
      </c>
      <c r="M31" s="171">
        <v>1087</v>
      </c>
      <c r="N31" s="83">
        <f>IFERROR(L31/M31-1,"")</f>
        <v>-3.1278748850046001E-2</v>
      </c>
      <c r="O31" s="95"/>
      <c r="P31" s="95"/>
      <c r="R31" s="102" t="s">
        <v>69</v>
      </c>
      <c r="S31" s="173" t="s">
        <v>2</v>
      </c>
      <c r="T31" s="169">
        <v>300</v>
      </c>
      <c r="U31" s="171">
        <v>253</v>
      </c>
      <c r="V31" s="83">
        <f t="shared" si="1"/>
        <v>0.18577075098814233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3"/>
      <c r="K32" s="84" t="s">
        <v>36</v>
      </c>
      <c r="L32" s="170">
        <v>525</v>
      </c>
      <c r="M32" s="172">
        <v>390</v>
      </c>
      <c r="N32" s="85">
        <f>IFERROR(L32/M32-1,"")</f>
        <v>0.34615384615384626</v>
      </c>
      <c r="O32" s="96"/>
      <c r="P32" s="96"/>
      <c r="Q32" s="175"/>
      <c r="R32" s="103"/>
      <c r="S32" s="174" t="s">
        <v>35</v>
      </c>
      <c r="T32" s="170">
        <v>252</v>
      </c>
      <c r="U32" s="172">
        <v>254</v>
      </c>
      <c r="V32" s="85">
        <f t="shared" si="1"/>
        <v>-7.8740157480314821E-3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03"/>
      <c r="K33" s="84" t="s">
        <v>154</v>
      </c>
      <c r="L33" s="170">
        <v>408</v>
      </c>
      <c r="M33" s="172">
        <v>304</v>
      </c>
      <c r="N33" s="85">
        <f>IFERROR(L33/M33-1,"")</f>
        <v>0.34210526315789469</v>
      </c>
      <c r="O33" s="96"/>
      <c r="P33" s="96"/>
      <c r="R33" s="103"/>
      <c r="S33" s="174" t="s">
        <v>36</v>
      </c>
      <c r="T33" s="170">
        <v>163</v>
      </c>
      <c r="U33" s="172">
        <v>37</v>
      </c>
      <c r="V33" s="85">
        <f t="shared" si="1"/>
        <v>3.4054054054054053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J34" s="102"/>
      <c r="K34" s="102" t="s">
        <v>45</v>
      </c>
      <c r="L34" s="177">
        <f>+L35-SUM(L31:L33)</f>
        <v>847</v>
      </c>
      <c r="M34" s="177">
        <f>+M35-SUM(M31:M33)</f>
        <v>878</v>
      </c>
      <c r="N34" s="86">
        <f t="shared" ref="N34:N35" si="2">IFERROR(L34/M34-1,"")</f>
        <v>-3.530751708428248E-2</v>
      </c>
      <c r="O34" s="104"/>
      <c r="P34" s="104"/>
      <c r="R34" s="102"/>
      <c r="S34" s="102" t="s">
        <v>45</v>
      </c>
      <c r="T34" s="177">
        <f>+T35-SUM(T31:T33)</f>
        <v>516</v>
      </c>
      <c r="U34" s="177">
        <f>+U35-SUM(U31:U33)</f>
        <v>334</v>
      </c>
      <c r="V34" s="86">
        <f t="shared" si="1"/>
        <v>0.54491017964071853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J35" s="105" t="s">
        <v>150</v>
      </c>
      <c r="K35" s="113"/>
      <c r="L35" s="158">
        <v>2833</v>
      </c>
      <c r="M35" s="158">
        <v>2659</v>
      </c>
      <c r="N35" s="98">
        <f t="shared" si="2"/>
        <v>6.5438134637081591E-2</v>
      </c>
      <c r="O35" s="117">
        <f>L35/$L$42</f>
        <v>0.16468057896878452</v>
      </c>
      <c r="P35" s="117">
        <f>M35/$M$42</f>
        <v>0.18141502353824113</v>
      </c>
      <c r="R35" s="105" t="str">
        <f>R31&amp;" Suma"</f>
        <v>TOURIST Suma</v>
      </c>
      <c r="S35" s="106"/>
      <c r="T35" s="158">
        <v>1231</v>
      </c>
      <c r="U35" s="158">
        <v>878</v>
      </c>
      <c r="V35" s="98">
        <f t="shared" si="1"/>
        <v>0.40205011389521639</v>
      </c>
      <c r="W35" s="117">
        <f>T35/$L$42</f>
        <v>7.1557286519793054E-2</v>
      </c>
      <c r="X35" s="117">
        <f>U35/$M$42</f>
        <v>5.9903117964112712E-2</v>
      </c>
    </row>
    <row r="36" spans="2:24" ht="15">
      <c r="B36" s="111"/>
      <c r="C36" s="111"/>
      <c r="D36" s="111"/>
      <c r="E36" s="111"/>
      <c r="F36" s="111"/>
      <c r="G36" s="111"/>
      <c r="H36" s="111"/>
      <c r="J36" s="109" t="s">
        <v>81</v>
      </c>
      <c r="K36" s="82" t="s">
        <v>152</v>
      </c>
      <c r="L36" s="169">
        <v>62</v>
      </c>
      <c r="M36" s="171">
        <v>31</v>
      </c>
      <c r="N36" s="83">
        <f t="shared" ref="N36:N39" si="3">IFERROR(L36/M36-1,"")</f>
        <v>1</v>
      </c>
      <c r="O36" s="95"/>
      <c r="P36" s="95"/>
      <c r="R36" s="102" t="s">
        <v>62</v>
      </c>
      <c r="S36" s="173" t="s">
        <v>2</v>
      </c>
      <c r="T36" s="169">
        <v>880</v>
      </c>
      <c r="U36" s="171">
        <v>1043</v>
      </c>
      <c r="V36" s="83">
        <f t="shared" si="1"/>
        <v>-0.15627996164908919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J37" s="103"/>
      <c r="K37" s="84" t="s">
        <v>153</v>
      </c>
      <c r="L37" s="170">
        <v>57</v>
      </c>
      <c r="M37" s="172">
        <v>25</v>
      </c>
      <c r="N37" s="85">
        <f t="shared" si="3"/>
        <v>1.2799999999999998</v>
      </c>
      <c r="O37" s="96"/>
      <c r="P37" s="96"/>
      <c r="R37" s="103"/>
      <c r="S37" s="174" t="s">
        <v>36</v>
      </c>
      <c r="T37" s="170">
        <v>492</v>
      </c>
      <c r="U37" s="172">
        <v>565</v>
      </c>
      <c r="V37" s="85">
        <f t="shared" si="1"/>
        <v>-0.12920353982300881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J38" s="103"/>
      <c r="K38" s="84" t="s">
        <v>100</v>
      </c>
      <c r="L38" s="170">
        <v>46</v>
      </c>
      <c r="M38" s="172">
        <v>7</v>
      </c>
      <c r="N38" s="85">
        <f t="shared" si="3"/>
        <v>5.5714285714285712</v>
      </c>
      <c r="O38" s="96"/>
      <c r="P38" s="96"/>
      <c r="R38" s="103"/>
      <c r="S38" s="174" t="s">
        <v>35</v>
      </c>
      <c r="T38" s="170">
        <v>340</v>
      </c>
      <c r="U38" s="172">
        <v>242</v>
      </c>
      <c r="V38" s="85">
        <f t="shared" si="1"/>
        <v>0.4049586776859504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J39" s="102"/>
      <c r="K39" s="102" t="s">
        <v>45</v>
      </c>
      <c r="L39" s="177">
        <f>+L40-SUM(L36:L38)</f>
        <v>221</v>
      </c>
      <c r="M39" s="177">
        <f>+M40-SUM(M36:M38)</f>
        <v>96</v>
      </c>
      <c r="N39" s="86">
        <f t="shared" si="3"/>
        <v>1.3020833333333335</v>
      </c>
      <c r="O39" s="104"/>
      <c r="P39" s="104"/>
      <c r="R39" s="102"/>
      <c r="S39" s="107" t="s">
        <v>45</v>
      </c>
      <c r="T39" s="177">
        <f>+T40-SUM(T36:T38)</f>
        <v>1556</v>
      </c>
      <c r="U39" s="177">
        <f>+U40-SUM(U36:U38)</f>
        <v>1494</v>
      </c>
      <c r="V39" s="86">
        <f t="shared" si="1"/>
        <v>4.1499330655957234E-2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J40" s="105" t="s">
        <v>81</v>
      </c>
      <c r="K40" s="114"/>
      <c r="L40" s="158">
        <v>386</v>
      </c>
      <c r="M40" s="158">
        <v>159</v>
      </c>
      <c r="N40" s="98">
        <f t="shared" si="0"/>
        <v>1.4276729559748427</v>
      </c>
      <c r="O40" s="117">
        <f>L40/$L$42</f>
        <v>2.2437946869732023E-2</v>
      </c>
      <c r="P40" s="117">
        <f>M40/$M$42</f>
        <v>1.0848058947942963E-2</v>
      </c>
      <c r="R40" s="105" t="str">
        <f>R36&amp;" Suma"</f>
        <v>ON/OFF Suma</v>
      </c>
      <c r="S40" s="108"/>
      <c r="T40" s="158">
        <v>3268</v>
      </c>
      <c r="U40" s="158">
        <v>3344</v>
      </c>
      <c r="V40" s="98">
        <f t="shared" si="1"/>
        <v>-2.2727272727272707E-2</v>
      </c>
      <c r="W40" s="117">
        <f>T40/$L$42</f>
        <v>0.18996686624425974</v>
      </c>
      <c r="X40" s="117">
        <f>U40/$M$42</f>
        <v>0.2281503718359828</v>
      </c>
    </row>
    <row r="41" spans="2:24" ht="15">
      <c r="B41" s="111"/>
      <c r="C41" s="111"/>
      <c r="D41" s="111"/>
      <c r="E41" s="111"/>
      <c r="F41" s="111"/>
      <c r="G41" s="111"/>
      <c r="H41" s="111"/>
      <c r="J41" s="105" t="s">
        <v>82</v>
      </c>
      <c r="K41" s="114"/>
      <c r="L41" s="158">
        <v>0</v>
      </c>
      <c r="M41" s="158">
        <v>0</v>
      </c>
      <c r="N41" s="98" t="str">
        <f t="shared" si="0"/>
        <v/>
      </c>
      <c r="O41" s="117">
        <f>L41/$L$42</f>
        <v>0</v>
      </c>
      <c r="P41" s="117">
        <f>M41/$M$42</f>
        <v>0</v>
      </c>
      <c r="R41" s="109" t="s">
        <v>63</v>
      </c>
      <c r="S41" s="173" t="s">
        <v>41</v>
      </c>
      <c r="T41" s="169">
        <v>261</v>
      </c>
      <c r="U41" s="171">
        <v>186</v>
      </c>
      <c r="V41" s="83">
        <f t="shared" si="1"/>
        <v>0.40322580645161299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J42" s="217" t="s">
        <v>18</v>
      </c>
      <c r="K42" s="218"/>
      <c r="L42" s="161">
        <f>SUM(L10,L15,L25,L20,L30,L35,L40,L41)</f>
        <v>17203</v>
      </c>
      <c r="M42" s="161">
        <f>SUM(M10,M15,M25,M20,M30,M35,M40,M41)</f>
        <v>14657</v>
      </c>
      <c r="N42" s="100">
        <f t="shared" si="0"/>
        <v>0.17370539673875962</v>
      </c>
      <c r="O42" s="99">
        <f>SUM(O10,O15,O20,O25,O30,O40,O41)</f>
        <v>0.83531942103121559</v>
      </c>
      <c r="P42" s="99">
        <f>SUM(P10,P15,P20,P25,P30,P40,P41)</f>
        <v>0.81858497646175887</v>
      </c>
      <c r="R42" s="103"/>
      <c r="S42" s="174" t="s">
        <v>36</v>
      </c>
      <c r="T42" s="170">
        <v>257</v>
      </c>
      <c r="U42" s="172">
        <v>127</v>
      </c>
      <c r="V42" s="85">
        <f t="shared" si="1"/>
        <v>1.0236220472440944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4" t="s">
        <v>78</v>
      </c>
      <c r="T43" s="170">
        <v>168</v>
      </c>
      <c r="U43" s="172">
        <v>158</v>
      </c>
      <c r="V43" s="85">
        <f t="shared" si="1"/>
        <v>6.3291139240506222E-2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177">
        <f>+T45-SUM(T41:T43)</f>
        <v>232</v>
      </c>
      <c r="U44" s="177">
        <f>+U45-SUM(U41:U43)</f>
        <v>232</v>
      </c>
      <c r="V44" s="86">
        <f t="shared" si="1"/>
        <v>0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tr">
        <f>R41&amp;" Suma"</f>
        <v>OFF ROAD Suma</v>
      </c>
      <c r="S45" s="108"/>
      <c r="T45" s="158">
        <v>918</v>
      </c>
      <c r="U45" s="158">
        <v>703</v>
      </c>
      <c r="V45" s="98">
        <f t="shared" si="1"/>
        <v>0.30583214793741109</v>
      </c>
      <c r="W45" s="117">
        <f>T45/$L$42</f>
        <v>5.3362785560658023E-2</v>
      </c>
      <c r="X45" s="117">
        <f>U45/$M$42</f>
        <v>4.7963430442791839E-2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77</v>
      </c>
      <c r="S46" s="114"/>
      <c r="T46" s="158">
        <v>143</v>
      </c>
      <c r="U46" s="158">
        <v>95</v>
      </c>
      <c r="V46" s="98">
        <f t="shared" si="1"/>
        <v>0.50526315789473686</v>
      </c>
      <c r="W46" s="117">
        <f>T46/$L$42</f>
        <v>8.3125036330872516E-3</v>
      </c>
      <c r="X46" s="117">
        <f>U46/$M$42</f>
        <v>6.48154465443133E-3</v>
      </c>
    </row>
    <row r="47" spans="2:24">
      <c r="B47" s="111"/>
      <c r="C47" s="111"/>
      <c r="D47" s="111"/>
      <c r="E47" s="111"/>
      <c r="F47" s="111"/>
      <c r="G47" s="111"/>
      <c r="H47" s="111"/>
      <c r="R47" s="217" t="s">
        <v>18</v>
      </c>
      <c r="S47" s="218"/>
      <c r="T47" s="158">
        <f>SUM(T10,T15,T20,T25,T30,T35,T40,T45,T46)</f>
        <v>17203</v>
      </c>
      <c r="U47" s="158">
        <f>SUM(U10,U15,U20,U25,U30,U35,U40,U45,U46)</f>
        <v>14657</v>
      </c>
      <c r="V47" s="98">
        <f t="shared" si="1"/>
        <v>0.17370539673875962</v>
      </c>
      <c r="W47" s="97">
        <f>SUM(W10,W15,W20,W25,W30,W35,W40,W45,W46)</f>
        <v>1</v>
      </c>
      <c r="X47" s="97">
        <f>SUM(X10,X15,X20,X25,X30,X35,X40,X45,X46)</f>
        <v>0.99999999999999978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</row>
    <row r="55" spans="2:16">
      <c r="B55" s="111"/>
      <c r="C55" s="111"/>
      <c r="D55" s="111"/>
      <c r="E55" s="111"/>
      <c r="F55" s="111"/>
      <c r="G55" s="111"/>
      <c r="H55" s="111"/>
    </row>
    <row r="56" spans="2:16">
      <c r="B56" s="111"/>
      <c r="C56" s="111"/>
      <c r="D56" s="111"/>
      <c r="E56" s="111"/>
      <c r="F56" s="111"/>
      <c r="G56" s="111"/>
      <c r="H56" s="111"/>
    </row>
    <row r="57" spans="2:16">
      <c r="B57" s="111"/>
      <c r="C57" s="111"/>
      <c r="D57" s="111"/>
      <c r="E57" s="111"/>
      <c r="F57" s="111"/>
      <c r="G57" s="111"/>
      <c r="H57" s="111"/>
    </row>
    <row r="58" spans="2:16" ht="12.75" customHeight="1">
      <c r="B58" s="111"/>
      <c r="C58" s="111"/>
      <c r="D58" s="111"/>
      <c r="E58" s="111"/>
      <c r="F58" s="111"/>
      <c r="G58" s="111"/>
      <c r="H58" s="111"/>
    </row>
    <row r="59" spans="2:16">
      <c r="B59" s="111"/>
      <c r="C59" s="111"/>
      <c r="D59" s="111"/>
      <c r="E59" s="111"/>
      <c r="F59" s="111"/>
      <c r="G59" s="111"/>
      <c r="H59" s="111"/>
    </row>
    <row r="60" spans="2:16">
      <c r="B60" s="111"/>
      <c r="C60" s="111"/>
      <c r="D60" s="111"/>
      <c r="E60" s="111"/>
      <c r="F60" s="111"/>
      <c r="G60" s="111"/>
      <c r="H60" s="111"/>
    </row>
    <row r="61" spans="2:16">
      <c r="B61" s="111"/>
      <c r="C61" s="111"/>
      <c r="D61" s="111"/>
      <c r="E61" s="111"/>
      <c r="F61" s="111"/>
      <c r="G61" s="111"/>
      <c r="H61" s="111"/>
    </row>
    <row r="62" spans="2:16">
      <c r="B62" s="111"/>
      <c r="C62" s="111"/>
      <c r="D62" s="111"/>
      <c r="E62" s="111"/>
      <c r="F62" s="111"/>
      <c r="G62" s="111"/>
      <c r="H62" s="111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N65"/>
      <c r="O65"/>
      <c r="P65"/>
      <c r="Y65" s="127" t="s">
        <v>79</v>
      </c>
    </row>
    <row r="66" spans="2:25">
      <c r="B66" s="111"/>
      <c r="C66" s="111"/>
      <c r="D66" s="111"/>
      <c r="E66" s="111"/>
      <c r="F66" s="111"/>
      <c r="G66" s="111"/>
      <c r="H66" s="111"/>
      <c r="J66"/>
      <c r="K66"/>
      <c r="L66"/>
      <c r="M66"/>
      <c r="N66"/>
      <c r="O66"/>
      <c r="P66"/>
    </row>
    <row r="67" spans="2:25">
      <c r="B67" s="111"/>
      <c r="C67" s="111"/>
      <c r="D67" s="111"/>
      <c r="E67" s="111"/>
      <c r="F67" s="111"/>
      <c r="G67" s="111"/>
      <c r="H67" s="111"/>
      <c r="J67"/>
      <c r="K67"/>
      <c r="L67"/>
      <c r="M67"/>
      <c r="N67"/>
      <c r="O67"/>
      <c r="P67"/>
    </row>
    <row r="68" spans="2:25">
      <c r="B68" s="111"/>
      <c r="C68" s="111"/>
      <c r="D68" s="111"/>
      <c r="E68" s="111"/>
      <c r="F68" s="111"/>
      <c r="G68" s="111"/>
      <c r="H68" s="111"/>
      <c r="J68"/>
      <c r="K68"/>
      <c r="L68"/>
      <c r="M68"/>
      <c r="N68"/>
      <c r="O68"/>
      <c r="P68"/>
    </row>
    <row r="69" spans="2:25">
      <c r="B69" s="111"/>
      <c r="C69" s="111"/>
      <c r="D69" s="111"/>
      <c r="E69" s="111"/>
      <c r="F69" s="111"/>
      <c r="G69" s="111"/>
      <c r="H69" s="111"/>
      <c r="J69"/>
      <c r="K69"/>
      <c r="L69"/>
      <c r="M69"/>
      <c r="N69"/>
      <c r="O69"/>
      <c r="P69"/>
    </row>
    <row r="70" spans="2:25">
      <c r="B70" s="111"/>
      <c r="C70" s="111"/>
      <c r="D70" s="111"/>
      <c r="E70" s="111"/>
      <c r="F70" s="111"/>
      <c r="G70" s="111"/>
      <c r="H70" s="111"/>
      <c r="J70"/>
      <c r="K70"/>
      <c r="L70"/>
      <c r="M70"/>
      <c r="N70"/>
      <c r="O70"/>
      <c r="P70"/>
    </row>
    <row r="71" spans="2:25">
      <c r="B71" s="111"/>
      <c r="C71" s="111"/>
      <c r="D71" s="111"/>
      <c r="E71" s="111"/>
      <c r="F71" s="111"/>
      <c r="G71" s="111"/>
      <c r="H71" s="111"/>
      <c r="J71"/>
      <c r="K71"/>
      <c r="L71"/>
      <c r="M71"/>
      <c r="N71"/>
      <c r="O71"/>
      <c r="P71"/>
    </row>
    <row r="72" spans="2:25">
      <c r="B72" s="111"/>
      <c r="C72" s="111"/>
      <c r="D72" s="111"/>
      <c r="E72" s="111"/>
      <c r="F72" s="111"/>
      <c r="G72" s="111"/>
      <c r="H72" s="111"/>
      <c r="J72"/>
      <c r="K72"/>
      <c r="L72"/>
      <c r="M72"/>
      <c r="N72"/>
      <c r="O72"/>
      <c r="P72"/>
    </row>
    <row r="73" spans="2:25">
      <c r="B73" s="111"/>
      <c r="C73" s="111"/>
      <c r="D73" s="111"/>
      <c r="E73" s="111"/>
      <c r="F73" s="111"/>
      <c r="G73" s="111"/>
      <c r="H73" s="111"/>
      <c r="J73"/>
      <c r="K73"/>
      <c r="L73"/>
      <c r="M73"/>
      <c r="N73"/>
      <c r="O73"/>
      <c r="P73"/>
    </row>
    <row r="74" spans="2:25">
      <c r="B74" s="111"/>
      <c r="C74" s="111"/>
      <c r="D74" s="111"/>
      <c r="E74" s="111"/>
      <c r="F74" s="111"/>
      <c r="G74" s="111"/>
      <c r="H74" s="111"/>
      <c r="J74"/>
      <c r="K74"/>
      <c r="L74"/>
      <c r="M74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H9" sqref="H9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9" t="s">
        <v>118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f t="shared" ref="N4:N9" si="0">SUM(B4:M4)</f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f t="shared" si="0"/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f>+'R_MC&amp;MP struktura 2022'!B25</f>
        <v>355</v>
      </c>
      <c r="C9" s="5">
        <f>+'R_MC&amp;MP struktura 2022'!C25</f>
        <v>496</v>
      </c>
      <c r="D9" s="5">
        <f>+'R_MC&amp;MP struktura 2022'!D25</f>
        <v>1041</v>
      </c>
      <c r="E9" s="5">
        <f>+'R_MC&amp;MP struktura 2022'!E25</f>
        <v>1207</v>
      </c>
      <c r="F9" s="5">
        <v>1469</v>
      </c>
      <c r="G9" s="5">
        <v>1513</v>
      </c>
      <c r="H9" s="5">
        <v>1390</v>
      </c>
      <c r="I9" s="5"/>
      <c r="J9" s="5"/>
      <c r="K9" s="5"/>
      <c r="L9" s="5"/>
      <c r="M9" s="5"/>
      <c r="N9" s="5">
        <f t="shared" si="0"/>
        <v>7471</v>
      </c>
      <c r="O9" s="11"/>
    </row>
    <row r="10" spans="1:18">
      <c r="A10" s="31" t="s">
        <v>113</v>
      </c>
      <c r="B10" s="11">
        <f>+B9/B8-1</f>
        <v>0.17940199335548179</v>
      </c>
      <c r="C10" s="11">
        <f>+C9/C8-1</f>
        <v>0.23690773067331672</v>
      </c>
      <c r="D10" s="11">
        <f>+D9/D8-1</f>
        <v>0.15410199556541015</v>
      </c>
      <c r="E10" s="11">
        <f>+E9/E8-1</f>
        <v>5.8771929824561475E-2</v>
      </c>
      <c r="F10" s="11">
        <f t="shared" ref="F10" si="1">+F9/F8-1</f>
        <v>8.2361015785861191E-3</v>
      </c>
      <c r="G10" s="11">
        <f>+G9/G8-1</f>
        <v>-0.10526315789473684</v>
      </c>
      <c r="H10" s="11">
        <f>+H9/H8-1</f>
        <v>-0.1789722386296515</v>
      </c>
      <c r="I10" s="11"/>
      <c r="J10" s="11"/>
      <c r="K10" s="11"/>
      <c r="L10" s="11"/>
      <c r="M10" s="11"/>
      <c r="N10" s="32">
        <f ca="1">+N9/F14-1</f>
        <v>-1.5029663810151583E-2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7" t="s">
        <v>19</v>
      </c>
      <c r="B12" s="189" t="str">
        <f>'R_PTW 2022vs2021'!B9:C9</f>
        <v>LIPIEC</v>
      </c>
      <c r="C12" s="225"/>
      <c r="D12" s="191" t="s">
        <v>5</v>
      </c>
      <c r="E12" s="193" t="str">
        <f>"ROK NARASTAJĄCO
STYCZEŃ-"&amp;B12</f>
        <v>ROK NARASTAJĄCO
STYCZEŃ-LIPIEC</v>
      </c>
      <c r="F12" s="226"/>
      <c r="G12" s="19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8"/>
      <c r="B13" s="60">
        <v>2022</v>
      </c>
      <c r="C13" s="60">
        <v>2021</v>
      </c>
      <c r="D13" s="192"/>
      <c r="E13" s="60">
        <v>2022</v>
      </c>
      <c r="F13" s="60">
        <v>2021</v>
      </c>
      <c r="G13" s="19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f ca="1">OFFSET(A9,,COUNTA(B10:M10),,)</f>
        <v>1390</v>
      </c>
      <c r="C14" s="58">
        <f ca="1">OFFSET(A8,,COUNTA(B10:M10),,)</f>
        <v>1693</v>
      </c>
      <c r="D14" s="59">
        <f ca="1">+B14/C14-1</f>
        <v>-0.1789722386296515</v>
      </c>
      <c r="E14" s="58">
        <f>+N9</f>
        <v>7471</v>
      </c>
      <c r="F14" s="57">
        <f ca="1">SUM(OFFSET(B8,,,,COUNTA(B10:M10)))</f>
        <v>7585</v>
      </c>
      <c r="G14" s="59">
        <f ca="1">+E14/F14-1</f>
        <v>-1.5029663810151583E-2</v>
      </c>
      <c r="H14" s="11"/>
      <c r="I14" s="11"/>
      <c r="J14" s="11"/>
      <c r="K14" s="11"/>
      <c r="L14" s="11"/>
      <c r="M14" s="11"/>
      <c r="N14" s="29"/>
    </row>
    <row r="40" spans="1:15">
      <c r="A40" s="223" t="s">
        <v>104</v>
      </c>
      <c r="B40" s="223"/>
      <c r="C40" s="223"/>
      <c r="D40" s="223"/>
      <c r="E40" s="223"/>
      <c r="F40" s="223"/>
      <c r="G40" s="223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f>+B45/B6</f>
        <v>0.56629834254143652</v>
      </c>
      <c r="C46" s="11">
        <f t="shared" ref="C46:N46" si="2">+C45/C6</f>
        <v>3.6687422166874222</v>
      </c>
      <c r="D46" s="11">
        <f t="shared" si="2"/>
        <v>2.1879375336564353</v>
      </c>
      <c r="E46" s="11">
        <f t="shared" si="2"/>
        <v>1.1607903913211934</v>
      </c>
      <c r="F46" s="11">
        <f t="shared" si="2"/>
        <v>1.2167156656866862</v>
      </c>
      <c r="G46" s="11">
        <f t="shared" si="2"/>
        <v>1.2251099560175929</v>
      </c>
      <c r="H46" s="11">
        <f t="shared" si="2"/>
        <v>0.91023339317773788</v>
      </c>
      <c r="I46" s="11">
        <f t="shared" si="2"/>
        <v>0.72432432432432436</v>
      </c>
      <c r="J46" s="11">
        <f t="shared" si="2"/>
        <v>0.67081199707388439</v>
      </c>
      <c r="K46" s="11">
        <f t="shared" si="2"/>
        <v>0.3396584440227704</v>
      </c>
      <c r="L46" s="11">
        <f t="shared" si="2"/>
        <v>0.38294314381270905</v>
      </c>
      <c r="M46" s="11">
        <f t="shared" si="2"/>
        <v>0.20090634441087613</v>
      </c>
      <c r="N46" s="11">
        <f t="shared" si="2"/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f>SUM(B47:M47)</f>
        <v>11267</v>
      </c>
    </row>
    <row r="48" spans="1:15" hidden="1">
      <c r="B48" s="11">
        <f>+B47/B9</f>
        <v>0.81126760563380285</v>
      </c>
      <c r="C48" s="11">
        <f t="shared" ref="C48:N48" si="3">+C47/C9</f>
        <v>2.318548387096774</v>
      </c>
      <c r="D48" s="11">
        <f t="shared" si="3"/>
        <v>2.0480307396733908</v>
      </c>
      <c r="E48" s="11">
        <f t="shared" si="3"/>
        <v>1.4449047224523612</v>
      </c>
      <c r="F48" s="11">
        <f t="shared" si="3"/>
        <v>0.775357385976855</v>
      </c>
      <c r="G48" s="11">
        <f t="shared" si="3"/>
        <v>1.0971579643093192</v>
      </c>
      <c r="H48" s="11">
        <f t="shared" si="3"/>
        <v>0.95827338129496398</v>
      </c>
      <c r="I48" s="11" t="e">
        <f t="shared" si="3"/>
        <v>#DIV/0!</v>
      </c>
      <c r="J48" s="11" t="e">
        <f t="shared" si="3"/>
        <v>#DIV/0!</v>
      </c>
      <c r="K48" s="11" t="e">
        <f t="shared" si="3"/>
        <v>#DIV/0!</v>
      </c>
      <c r="L48" s="11" t="e">
        <f t="shared" si="3"/>
        <v>#DIV/0!</v>
      </c>
      <c r="M48" s="11" t="e">
        <f t="shared" si="3"/>
        <v>#DIV/0!</v>
      </c>
      <c r="N48" s="11">
        <f t="shared" si="3"/>
        <v>1.5080979788515594</v>
      </c>
      <c r="O48" s="3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C3" sqref="C3:C4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7"/>
      <c r="C1" s="227"/>
      <c r="D1" s="227"/>
      <c r="E1" s="227"/>
      <c r="F1" s="227"/>
      <c r="G1" s="227"/>
      <c r="H1" s="227"/>
      <c r="I1" s="76"/>
      <c r="J1" s="76"/>
      <c r="K1" s="76"/>
      <c r="L1" s="76"/>
    </row>
    <row r="2" spans="2:12" ht="14.25">
      <c r="B2" s="202" t="s">
        <v>119</v>
      </c>
      <c r="C2" s="202"/>
      <c r="D2" s="202"/>
      <c r="E2" s="202"/>
      <c r="F2" s="202"/>
      <c r="G2" s="202"/>
      <c r="H2" s="202"/>
      <c r="I2" s="228"/>
      <c r="J2" s="228"/>
      <c r="K2" s="228"/>
      <c r="L2" s="228"/>
    </row>
    <row r="3" spans="2:12" ht="24" customHeight="1">
      <c r="B3" s="203" t="s">
        <v>64</v>
      </c>
      <c r="C3" s="205" t="s">
        <v>67</v>
      </c>
      <c r="D3" s="207" t="str">
        <f>'R_MC 2022 rankingi'!D3:H3</f>
        <v>Styczeń-Lipiec</v>
      </c>
      <c r="E3" s="208"/>
      <c r="F3" s="208"/>
      <c r="G3" s="208"/>
      <c r="H3" s="209"/>
      <c r="I3" s="78"/>
      <c r="J3" s="79"/>
      <c r="K3" s="79"/>
      <c r="L3" s="79"/>
    </row>
    <row r="4" spans="2:12">
      <c r="B4" s="210"/>
      <c r="C4" s="230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1746</v>
      </c>
      <c r="E5" s="118">
        <v>0.23370365412929997</v>
      </c>
      <c r="F5" s="148">
        <v>1148</v>
      </c>
      <c r="G5" s="182">
        <v>0.15135135135135136</v>
      </c>
      <c r="H5" s="133">
        <v>0.52090592334494779</v>
      </c>
      <c r="J5" s="80"/>
      <c r="K5" s="80"/>
      <c r="L5" s="80"/>
    </row>
    <row r="6" spans="2:12">
      <c r="B6" s="143">
        <v>2</v>
      </c>
      <c r="C6" s="144" t="s">
        <v>57</v>
      </c>
      <c r="D6" s="149">
        <v>1085</v>
      </c>
      <c r="E6" s="119">
        <v>0.14522821576763487</v>
      </c>
      <c r="F6" s="149">
        <v>1459</v>
      </c>
      <c r="G6" s="120">
        <v>0.19235332893869478</v>
      </c>
      <c r="H6" s="134">
        <v>-0.25633995887594241</v>
      </c>
      <c r="J6" s="80"/>
      <c r="K6" s="80"/>
      <c r="L6" s="80"/>
    </row>
    <row r="7" spans="2:12">
      <c r="B7" s="143">
        <v>3</v>
      </c>
      <c r="C7" s="144" t="s">
        <v>80</v>
      </c>
      <c r="D7" s="149">
        <v>772</v>
      </c>
      <c r="E7" s="119">
        <v>0.10333288716369964</v>
      </c>
      <c r="F7" s="149">
        <v>674</v>
      </c>
      <c r="G7" s="120">
        <v>8.8859591298615689E-2</v>
      </c>
      <c r="H7" s="134">
        <v>0.14540059347181011</v>
      </c>
      <c r="J7" s="80"/>
      <c r="K7" s="80"/>
      <c r="L7" s="80"/>
    </row>
    <row r="8" spans="2:12">
      <c r="B8" s="143">
        <v>4</v>
      </c>
      <c r="C8" s="144" t="s">
        <v>84</v>
      </c>
      <c r="D8" s="149">
        <v>436</v>
      </c>
      <c r="E8" s="119">
        <v>5.8358988087270781E-2</v>
      </c>
      <c r="F8" s="149">
        <v>391</v>
      </c>
      <c r="G8" s="120">
        <v>5.1549110085695453E-2</v>
      </c>
      <c r="H8" s="134">
        <v>0.11508951406649626</v>
      </c>
      <c r="J8" s="80"/>
      <c r="K8" s="80"/>
      <c r="L8" s="80"/>
    </row>
    <row r="9" spans="2:12">
      <c r="B9" s="150">
        <v>5</v>
      </c>
      <c r="C9" s="151" t="s">
        <v>96</v>
      </c>
      <c r="D9" s="152">
        <v>375</v>
      </c>
      <c r="E9" s="153">
        <v>5.0194083790657207E-2</v>
      </c>
      <c r="F9" s="152">
        <v>337</v>
      </c>
      <c r="G9" s="154">
        <v>4.4429795649307845E-2</v>
      </c>
      <c r="H9" s="155">
        <v>0.11275964391691384</v>
      </c>
      <c r="J9" s="80"/>
      <c r="K9" s="80"/>
      <c r="L9" s="80"/>
    </row>
    <row r="10" spans="2:12">
      <c r="B10" s="141">
        <v>6</v>
      </c>
      <c r="C10" s="142" t="s">
        <v>143</v>
      </c>
      <c r="D10" s="148">
        <v>326</v>
      </c>
      <c r="E10" s="118">
        <v>4.3635390175344665E-2</v>
      </c>
      <c r="F10" s="148">
        <v>16</v>
      </c>
      <c r="G10" s="182">
        <v>2.109426499670402E-3</v>
      </c>
      <c r="H10" s="133">
        <v>19.375</v>
      </c>
      <c r="J10" s="80"/>
      <c r="K10" s="80"/>
      <c r="L10" s="80"/>
    </row>
    <row r="11" spans="2:12">
      <c r="B11" s="143">
        <v>7</v>
      </c>
      <c r="C11" s="144" t="s">
        <v>106</v>
      </c>
      <c r="D11" s="149">
        <v>298</v>
      </c>
      <c r="E11" s="119">
        <v>3.9887565252308931E-2</v>
      </c>
      <c r="F11" s="149">
        <v>128</v>
      </c>
      <c r="G11" s="120">
        <v>1.6875411997363216E-2</v>
      </c>
      <c r="H11" s="134">
        <v>1.328125</v>
      </c>
      <c r="J11" s="80"/>
      <c r="K11" s="80"/>
      <c r="L11" s="80"/>
    </row>
    <row r="12" spans="2:12">
      <c r="B12" s="143">
        <v>8</v>
      </c>
      <c r="C12" s="144" t="s">
        <v>100</v>
      </c>
      <c r="D12" s="149">
        <v>290</v>
      </c>
      <c r="E12" s="119">
        <v>3.8816758131441573E-2</v>
      </c>
      <c r="F12" s="149">
        <v>311</v>
      </c>
      <c r="G12" s="120">
        <v>4.100197758734344E-2</v>
      </c>
      <c r="H12" s="134">
        <v>-6.7524115755627001E-2</v>
      </c>
      <c r="J12" s="80"/>
      <c r="K12" s="80"/>
      <c r="L12" s="80"/>
    </row>
    <row r="13" spans="2:12">
      <c r="B13" s="143">
        <v>9</v>
      </c>
      <c r="C13" s="144" t="s">
        <v>39</v>
      </c>
      <c r="D13" s="149">
        <v>230</v>
      </c>
      <c r="E13" s="119">
        <v>3.078570472493642E-2</v>
      </c>
      <c r="F13" s="149">
        <v>424</v>
      </c>
      <c r="G13" s="120">
        <v>5.5899802241265659E-2</v>
      </c>
      <c r="H13" s="134">
        <v>-0.45754716981132071</v>
      </c>
      <c r="J13" s="80"/>
      <c r="K13" s="80"/>
      <c r="L13" s="80"/>
    </row>
    <row r="14" spans="2:12">
      <c r="B14" s="150">
        <v>10</v>
      </c>
      <c r="C14" s="151" t="s">
        <v>101</v>
      </c>
      <c r="D14" s="152">
        <v>228</v>
      </c>
      <c r="E14" s="153">
        <v>3.0518002944719583E-2</v>
      </c>
      <c r="F14" s="152">
        <v>271</v>
      </c>
      <c r="G14" s="154">
        <v>3.5728411338167433E-2</v>
      </c>
      <c r="H14" s="155">
        <v>-0.15867158671586712</v>
      </c>
      <c r="J14" s="80"/>
      <c r="K14" s="80"/>
      <c r="L14" s="80"/>
    </row>
    <row r="15" spans="2:12">
      <c r="B15" s="219" t="s">
        <v>42</v>
      </c>
      <c r="C15" s="220"/>
      <c r="D15" s="159">
        <f>SUM(D5:D14)</f>
        <v>5786</v>
      </c>
      <c r="E15" s="110">
        <f>SUM(E5:E14)</f>
        <v>0.77446125016731371</v>
      </c>
      <c r="F15" s="176">
        <f>SUM(F5:F14)</f>
        <v>5159</v>
      </c>
      <c r="G15" s="110">
        <f>SUM(G5:G14)</f>
        <v>0.68015820698747531</v>
      </c>
      <c r="H15" s="101">
        <f>+D15/F15-1</f>
        <v>0.12153518123667384</v>
      </c>
    </row>
    <row r="16" spans="2:12">
      <c r="B16" s="221" t="s">
        <v>43</v>
      </c>
      <c r="C16" s="221"/>
      <c r="D16" s="176">
        <f>+D17-D15</f>
        <v>1685</v>
      </c>
      <c r="E16" s="110">
        <f>+D16/D17</f>
        <v>0.22553874983268637</v>
      </c>
      <c r="F16" s="176">
        <f>+F17-F15</f>
        <v>2426</v>
      </c>
      <c r="G16" s="110">
        <f>+F16/F17</f>
        <v>0.31984179301252474</v>
      </c>
      <c r="H16" s="100">
        <f>+D16/F16-1</f>
        <v>-0.30544105523495468</v>
      </c>
      <c r="I16" s="147"/>
    </row>
    <row r="17" spans="2:8">
      <c r="B17" s="222" t="s">
        <v>18</v>
      </c>
      <c r="C17" s="222"/>
      <c r="D17" s="145">
        <v>7471</v>
      </c>
      <c r="E17" s="138">
        <v>1.0000000000000004</v>
      </c>
      <c r="F17" s="145">
        <v>7585</v>
      </c>
      <c r="G17" s="139">
        <v>0.99999999999999944</v>
      </c>
      <c r="H17" s="140">
        <v>-1.5029663810151583E-2</v>
      </c>
    </row>
    <row r="18" spans="2:8" ht="12.75" customHeight="1">
      <c r="B18" s="231" t="s">
        <v>102</v>
      </c>
      <c r="C18" s="231"/>
      <c r="D18" s="231"/>
      <c r="E18" s="231"/>
      <c r="F18" s="231"/>
      <c r="G18" s="231"/>
      <c r="H18" s="231"/>
    </row>
    <row r="19" spans="2:8">
      <c r="B19" s="229" t="s">
        <v>72</v>
      </c>
      <c r="C19" s="229"/>
      <c r="D19" s="229"/>
      <c r="E19" s="229"/>
      <c r="F19" s="229"/>
      <c r="G19" s="229"/>
      <c r="H19" s="229"/>
    </row>
    <row r="20" spans="2:8">
      <c r="B20" s="229"/>
      <c r="C20" s="229"/>
      <c r="D20" s="229"/>
      <c r="E20" s="229"/>
      <c r="F20" s="229"/>
      <c r="G20" s="229"/>
      <c r="H20" s="229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1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Normal="10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88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f>'R_PTW 2022vs2021'!B3-'R_PTW NEW 2022vs2021'!B3</f>
        <v>2855</v>
      </c>
      <c r="C3" s="1">
        <f>'R_PTW 2022vs2021'!C3-'R_PTW NEW 2022vs2021'!C3</f>
        <v>3810</v>
      </c>
      <c r="D3" s="1">
        <f>'R_PTW 2022vs2021'!D3-'R_PTW NEW 2022vs2021'!D3</f>
        <v>6696</v>
      </c>
      <c r="E3" s="1">
        <f>'R_PTW 2022vs2021'!E3-'R_PTW NEW 2022vs2021'!E3</f>
        <v>6795</v>
      </c>
      <c r="F3" s="1">
        <v>7438</v>
      </c>
      <c r="G3" s="1">
        <v>7071</v>
      </c>
      <c r="H3" s="1">
        <v>6571</v>
      </c>
      <c r="I3" s="1"/>
      <c r="J3" s="1"/>
      <c r="K3" s="1"/>
      <c r="L3" s="1"/>
      <c r="M3" s="1"/>
      <c r="N3" s="1">
        <f>SUM(B3:M3)</f>
        <v>41236</v>
      </c>
      <c r="O3" s="11">
        <f>N3/N5</f>
        <v>0.84351348034202023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f>'R_PTW 2022vs2021'!B4-'R_PTW NEW 2022vs2021'!B4</f>
        <v>491</v>
      </c>
      <c r="C4" s="1">
        <f>'R_PTW 2022vs2021'!C4-'R_PTW NEW 2022vs2021'!C4</f>
        <v>640</v>
      </c>
      <c r="D4" s="1">
        <f>'R_PTW 2022vs2021'!D4-'R_PTW NEW 2022vs2021'!D4</f>
        <v>1199</v>
      </c>
      <c r="E4" s="1">
        <f>'R_PTW 2022vs2021'!E4-'R_PTW NEW 2022vs2021'!E4</f>
        <v>1168</v>
      </c>
      <c r="F4" s="1">
        <v>1356</v>
      </c>
      <c r="G4" s="1">
        <v>1429</v>
      </c>
      <c r="H4" s="1">
        <v>1367</v>
      </c>
      <c r="I4" s="1"/>
      <c r="J4" s="1"/>
      <c r="K4" s="1"/>
      <c r="L4" s="1"/>
      <c r="M4" s="1"/>
      <c r="N4" s="1">
        <f>SUM(B4:M4)</f>
        <v>7650</v>
      </c>
      <c r="O4" s="11">
        <f>N4/N5</f>
        <v>0.1564865196579798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f>SUM(B3:B4)</f>
        <v>3346</v>
      </c>
      <c r="C5" s="5">
        <f>SUM(C3:C4)</f>
        <v>4450</v>
      </c>
      <c r="D5" s="5">
        <f>SUM(D3:D4)</f>
        <v>7895</v>
      </c>
      <c r="E5" s="5">
        <f>SUM(E3:E4)</f>
        <v>7963</v>
      </c>
      <c r="F5" s="5">
        <f t="shared" ref="F5:G5" si="0">SUM(F3:F4)</f>
        <v>8794</v>
      </c>
      <c r="G5" s="5">
        <f t="shared" si="0"/>
        <v>8500</v>
      </c>
      <c r="H5" s="5">
        <f t="shared" ref="H5" si="1">SUM(H3:H4)</f>
        <v>7938</v>
      </c>
      <c r="I5" s="5"/>
      <c r="J5" s="5"/>
      <c r="K5" s="5"/>
      <c r="L5" s="5"/>
      <c r="M5" s="5"/>
      <c r="N5" s="5">
        <f>SUM(B5:M5)</f>
        <v>48886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109</v>
      </c>
      <c r="B6" s="24">
        <f>B5/AF5-1</f>
        <v>4.7917319135609038E-2</v>
      </c>
      <c r="C6" s="24">
        <f>C5/B5-1</f>
        <v>0.32994620442319178</v>
      </c>
      <c r="D6" s="24">
        <f>D5/C5-1</f>
        <v>0.77415730337078648</v>
      </c>
      <c r="E6" s="24">
        <f>E5/D5-1</f>
        <v>8.6130462317923762E-3</v>
      </c>
      <c r="F6" s="24">
        <f t="shared" ref="F6:H6" si="2">F5/E5-1</f>
        <v>0.10435765415044584</v>
      </c>
      <c r="G6" s="24">
        <f t="shared" si="2"/>
        <v>-3.3431885376392967E-2</v>
      </c>
      <c r="H6" s="24">
        <f t="shared" si="2"/>
        <v>-6.6117647058823503E-2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3.5592695759826709E-2</v>
      </c>
      <c r="C7" s="26">
        <f>C5/V5-1</f>
        <v>0.16706005769735111</v>
      </c>
      <c r="D7" s="26">
        <f>D5/W5-1</f>
        <v>-9.9071983947830455E-3</v>
      </c>
      <c r="E7" s="26">
        <f>E5/X5-1</f>
        <v>-7.6218097447795841E-2</v>
      </c>
      <c r="F7" s="26">
        <f t="shared" ref="F7:H7" si="3">F5/Y5-1</f>
        <v>2.8538011695906418E-2</v>
      </c>
      <c r="G7" s="26">
        <f t="shared" si="3"/>
        <v>1.1778563015312216E-3</v>
      </c>
      <c r="H7" s="26">
        <f t="shared" si="3"/>
        <v>1.6389244558258742E-2</v>
      </c>
      <c r="I7" s="26"/>
      <c r="J7" s="26"/>
      <c r="K7" s="26"/>
      <c r="L7" s="26"/>
      <c r="M7" s="26"/>
      <c r="N7" s="26">
        <f ca="1">+N5/F13-1</f>
        <v>8.2082164659296186E-3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7" t="s">
        <v>19</v>
      </c>
      <c r="B9" s="189" t="str">
        <f>'R_PTW 2022vs2021'!B9:C9</f>
        <v>LIPIEC</v>
      </c>
      <c r="C9" s="190"/>
      <c r="D9" s="191" t="s">
        <v>5</v>
      </c>
      <c r="E9" s="193" t="str">
        <f>"ROK NARASTAJĄCO
STYCZEŃ-"&amp;B9</f>
        <v>ROK NARASTAJĄCO
STYCZEŃ-LIPIEC</v>
      </c>
      <c r="F9" s="194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f ca="1">OFFSET(A3,,COUNTA(B3:M3),,)</f>
        <v>6571</v>
      </c>
      <c r="C11" s="21">
        <f ca="1">OFFSET(T3,,COUNTA(B3:M3),,)</f>
        <v>6505</v>
      </c>
      <c r="D11" s="20">
        <f ca="1">+B11/C11-1</f>
        <v>1.0146041506533532E-2</v>
      </c>
      <c r="E11" s="21">
        <f>N3</f>
        <v>41236</v>
      </c>
      <c r="F11" s="16">
        <f ca="1">SUM(OFFSET(U3,,,,COUNTA(B3:M3)))</f>
        <v>41869</v>
      </c>
      <c r="G11" s="20">
        <f ca="1">+E11/F11-1</f>
        <v>-1.5118584155341619E-2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f ca="1">OFFSET(A4,,COUNTA(B4:M4),,)</f>
        <v>1367</v>
      </c>
      <c r="C12" s="21">
        <f ca="1">OFFSET(T4,,COUNTA(B4:M4),,)</f>
        <v>1305</v>
      </c>
      <c r="D12" s="20">
        <f ca="1">+B12/C12-1</f>
        <v>4.7509578544061348E-2</v>
      </c>
      <c r="E12" s="21">
        <f>N4</f>
        <v>7650</v>
      </c>
      <c r="F12" s="16">
        <f ca="1">SUM(OFFSET(U4,,,,COUNTA(B4:M4)))</f>
        <v>6619</v>
      </c>
      <c r="G12" s="20">
        <f ca="1">+E12/F12-1</f>
        <v>0.15576371053029159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f ca="1">SUM(B11:B12)</f>
        <v>7938</v>
      </c>
      <c r="C13" s="21">
        <f ca="1">SUM(C11:C12)</f>
        <v>7810</v>
      </c>
      <c r="D13" s="20">
        <f ca="1">+B13/C13-1</f>
        <v>1.6389244558258742E-2</v>
      </c>
      <c r="E13" s="21">
        <f>SUM(E11:E12)</f>
        <v>48886</v>
      </c>
      <c r="F13" s="21">
        <f ca="1">SUM(F11:F12)</f>
        <v>48488</v>
      </c>
      <c r="G13" s="20">
        <f ca="1">+E13/F13-1</f>
        <v>8.2082164659296186E-3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3" zoomScaleNormal="100" workbookViewId="0">
      <selection activeCell="B9" sqref="B9:N9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9" t="s">
        <v>121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 ht="21" customHeight="1">
      <c r="A3" s="235" t="s">
        <v>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89</v>
      </c>
      <c r="B5" s="232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4"/>
      <c r="O5" s="9"/>
      <c r="R5" s="31"/>
    </row>
    <row r="6" spans="1:18" ht="13.5" customHeight="1">
      <c r="A6" s="124" t="s">
        <v>90</v>
      </c>
      <c r="B6" s="49">
        <f>'R_PTW NEW 2022vs2021'!U3</f>
        <v>410</v>
      </c>
      <c r="C6" s="49">
        <f>'R_PTW NEW 2022vs2021'!V3</f>
        <v>906</v>
      </c>
      <c r="D6" s="49">
        <f>'R_PTW NEW 2022vs2021'!W3</f>
        <v>2223</v>
      </c>
      <c r="E6" s="49">
        <f>'R_PTW NEW 2022vs2021'!X3</f>
        <v>2884</v>
      </c>
      <c r="F6" s="49">
        <f>'R_PTW NEW 2022vs2021'!Y3</f>
        <v>2963</v>
      </c>
      <c r="G6" s="49">
        <f>'R_PTW NEW 2022vs2021'!Z3</f>
        <v>2848</v>
      </c>
      <c r="H6" s="49">
        <f>'R_PTW NEW 2022vs2021'!AA3</f>
        <v>2423</v>
      </c>
      <c r="I6" s="49">
        <f>'R_PTW NEW 2022vs2021'!AB3</f>
        <v>1894</v>
      </c>
      <c r="J6" s="49">
        <f>'R_PTW NEW 2022vs2021'!AC3</f>
        <v>1461</v>
      </c>
      <c r="K6" s="49">
        <f>'R_PTW NEW 2022vs2021'!AD3</f>
        <v>1186</v>
      </c>
      <c r="L6" s="49">
        <f>'R_PTW NEW 2022vs2021'!AE3</f>
        <v>1071</v>
      </c>
      <c r="M6" s="49">
        <f>'R_PTW NEW 2022vs2021'!AF3</f>
        <v>1310</v>
      </c>
      <c r="N6" s="49">
        <f>SUM(B6:M6)</f>
        <v>21579</v>
      </c>
      <c r="O6" s="9"/>
      <c r="R6" s="31"/>
    </row>
    <row r="7" spans="1:18" ht="13.5" customHeight="1">
      <c r="A7" s="124" t="s">
        <v>91</v>
      </c>
      <c r="B7" s="49">
        <f>'R_PTW USED 2022vs2021'!U3</f>
        <v>2741</v>
      </c>
      <c r="C7" s="49">
        <f>'R_PTW USED 2022vs2021'!V3</f>
        <v>3345</v>
      </c>
      <c r="D7" s="49">
        <f>'R_PTW USED 2022vs2021'!W3</f>
        <v>7092</v>
      </c>
      <c r="E7" s="49">
        <f>'R_PTW USED 2022vs2021'!X3</f>
        <v>7568</v>
      </c>
      <c r="F7" s="49">
        <f>'R_PTW USED 2022vs2021'!Y3</f>
        <v>7325</v>
      </c>
      <c r="G7" s="49">
        <f>'R_PTW USED 2022vs2021'!Z3</f>
        <v>7293</v>
      </c>
      <c r="H7" s="49">
        <f>'R_PTW USED 2022vs2021'!AA3</f>
        <v>6505</v>
      </c>
      <c r="I7" s="49">
        <f>'R_PTW USED 2022vs2021'!AB3</f>
        <v>5002</v>
      </c>
      <c r="J7" s="49">
        <f>'R_PTW USED 2022vs2021'!AC3</f>
        <v>4222</v>
      </c>
      <c r="K7" s="49">
        <f>'R_PTW USED 2022vs2021'!AD3</f>
        <v>3570</v>
      </c>
      <c r="L7" s="49">
        <f>'R_PTW USED 2022vs2021'!AE3</f>
        <v>3038</v>
      </c>
      <c r="M7" s="49">
        <f>'R_PTW USED 2022vs2021'!AF3</f>
        <v>2673</v>
      </c>
      <c r="N7" s="49">
        <f>SUM(B7:M7)</f>
        <v>60374</v>
      </c>
      <c r="O7" s="9"/>
      <c r="R7" s="31"/>
    </row>
    <row r="8" spans="1:18" ht="13.5" customHeight="1">
      <c r="A8" s="52" t="s">
        <v>92</v>
      </c>
      <c r="B8" s="52">
        <f>B6+B7</f>
        <v>3151</v>
      </c>
      <c r="C8" s="52">
        <f t="shared" ref="C8:M8" si="0">C6+C7</f>
        <v>4251</v>
      </c>
      <c r="D8" s="52">
        <f t="shared" si="0"/>
        <v>9315</v>
      </c>
      <c r="E8" s="52">
        <f t="shared" si="0"/>
        <v>10452</v>
      </c>
      <c r="F8" s="52">
        <f t="shared" si="0"/>
        <v>10288</v>
      </c>
      <c r="G8" s="52">
        <f t="shared" si="0"/>
        <v>10141</v>
      </c>
      <c r="H8" s="52">
        <f t="shared" si="0"/>
        <v>8928</v>
      </c>
      <c r="I8" s="52">
        <f t="shared" si="0"/>
        <v>6896</v>
      </c>
      <c r="J8" s="52">
        <f t="shared" si="0"/>
        <v>5683</v>
      </c>
      <c r="K8" s="52">
        <f t="shared" si="0"/>
        <v>4756</v>
      </c>
      <c r="L8" s="52">
        <f t="shared" si="0"/>
        <v>4109</v>
      </c>
      <c r="M8" s="52">
        <f t="shared" si="0"/>
        <v>3983</v>
      </c>
      <c r="N8" s="52">
        <f>SUM(B8:M8)</f>
        <v>81953</v>
      </c>
      <c r="O8" s="9"/>
      <c r="R8" s="31"/>
    </row>
    <row r="9" spans="1:18" ht="13.5" customHeight="1">
      <c r="A9" s="124" t="s">
        <v>122</v>
      </c>
      <c r="B9" s="232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4"/>
      <c r="O9" s="9"/>
      <c r="R9" s="31"/>
    </row>
    <row r="10" spans="1:18">
      <c r="A10" s="124" t="s">
        <v>123</v>
      </c>
      <c r="B10" s="53">
        <f>'R_PTW NEW 2022vs2021'!B3</f>
        <v>856</v>
      </c>
      <c r="C10" s="53">
        <f>'R_PTW NEW 2022vs2021'!C3</f>
        <v>1276</v>
      </c>
      <c r="D10" s="53">
        <f>'R_PTW NEW 2022vs2021'!D3</f>
        <v>2828</v>
      </c>
      <c r="E10" s="53">
        <f>'R_PTW NEW 2022vs2021'!E3</f>
        <v>2875</v>
      </c>
      <c r="F10" s="53">
        <f>'R_PTW NEW 2022vs2021'!F3</f>
        <v>3412</v>
      </c>
      <c r="G10" s="53">
        <f>'R_PTW NEW 2022vs2021'!G3</f>
        <v>3241</v>
      </c>
      <c r="H10" s="53">
        <f>'R_PTW NEW 2022vs2021'!H3</f>
        <v>2715</v>
      </c>
      <c r="I10" s="53"/>
      <c r="J10" s="53"/>
      <c r="K10" s="53"/>
      <c r="L10" s="53"/>
      <c r="M10" s="53"/>
      <c r="N10" s="53">
        <f>SUM(B10:M10)</f>
        <v>17203</v>
      </c>
      <c r="O10" s="9"/>
      <c r="R10" s="31"/>
    </row>
    <row r="11" spans="1:18" s="15" customFormat="1">
      <c r="A11" s="124" t="s">
        <v>124</v>
      </c>
      <c r="B11" s="49">
        <f>'R_PTW USED 2022vs2021'!B3</f>
        <v>2855</v>
      </c>
      <c r="C11" s="49">
        <f>'R_PTW USED 2022vs2021'!C3</f>
        <v>3810</v>
      </c>
      <c r="D11" s="49">
        <f>'R_PTW USED 2022vs2021'!D3</f>
        <v>6696</v>
      </c>
      <c r="E11" s="49">
        <f>'R_PTW USED 2022vs2021'!E3</f>
        <v>6795</v>
      </c>
      <c r="F11" s="49">
        <f>'R_PTW USED 2022vs2021'!F3</f>
        <v>7438</v>
      </c>
      <c r="G11" s="49">
        <f>'R_PTW USED 2022vs2021'!G3</f>
        <v>7071</v>
      </c>
      <c r="H11" s="49">
        <f>'R_PTW USED 2022vs2021'!H3</f>
        <v>6571</v>
      </c>
      <c r="I11" s="49"/>
      <c r="J11" s="49"/>
      <c r="K11" s="49"/>
      <c r="L11" s="49"/>
      <c r="M11" s="49"/>
      <c r="N11" s="49">
        <f>SUM(B11:M11)</f>
        <v>41236</v>
      </c>
      <c r="O11" s="14"/>
      <c r="R11" s="31"/>
    </row>
    <row r="12" spans="1:18">
      <c r="A12" s="52" t="s">
        <v>125</v>
      </c>
      <c r="B12" s="54">
        <f>B10+B11</f>
        <v>3711</v>
      </c>
      <c r="C12" s="54">
        <f>C10+C11</f>
        <v>5086</v>
      </c>
      <c r="D12" s="54">
        <f>D10+D11</f>
        <v>9524</v>
      </c>
      <c r="E12" s="54">
        <f>E10+E11</f>
        <v>9670</v>
      </c>
      <c r="F12" s="54">
        <f t="shared" ref="F12:H12" si="1">F10+F11</f>
        <v>10850</v>
      </c>
      <c r="G12" s="54">
        <f t="shared" si="1"/>
        <v>10312</v>
      </c>
      <c r="H12" s="54">
        <f t="shared" si="1"/>
        <v>9286</v>
      </c>
      <c r="I12" s="54"/>
      <c r="J12" s="54"/>
      <c r="K12" s="54"/>
      <c r="L12" s="54"/>
      <c r="M12" s="54"/>
      <c r="N12" s="54">
        <f>SUM(B12:M12)</f>
        <v>58439</v>
      </c>
      <c r="O12" s="11"/>
      <c r="R12" s="31"/>
    </row>
    <row r="13" spans="1:18">
      <c r="A13" s="55" t="s">
        <v>32</v>
      </c>
      <c r="B13" s="56">
        <f>+B12/B8-1</f>
        <v>0.17772135829895275</v>
      </c>
      <c r="C13" s="56">
        <f>+C12/C8-1</f>
        <v>0.19642437073629737</v>
      </c>
      <c r="D13" s="56">
        <f>+D12/D8-1</f>
        <v>2.2436929683306461E-2</v>
      </c>
      <c r="E13" s="56">
        <f>+E12/E8-1</f>
        <v>-7.4818216609261357E-2</v>
      </c>
      <c r="F13" s="56">
        <f t="shared" ref="F13:G13" si="2">+F12/F8-1</f>
        <v>5.4626749611197623E-2</v>
      </c>
      <c r="G13" s="56">
        <f t="shared" si="2"/>
        <v>1.6862242382408077E-2</v>
      </c>
      <c r="H13" s="56">
        <f t="shared" ref="H13" si="3">+H12/H8-1</f>
        <v>4.0098566308243822E-2</v>
      </c>
      <c r="I13" s="56"/>
      <c r="J13" s="56"/>
      <c r="K13" s="56"/>
      <c r="L13" s="56"/>
      <c r="M13" s="56"/>
      <c r="N13" s="56">
        <f ca="1">+N12/SUM(OFFSET(B8,,,,COUNTA(B10:M10)))-1</f>
        <v>3.3842833386406257E-2</v>
      </c>
      <c r="P13" s="62"/>
      <c r="R13" s="31"/>
    </row>
    <row r="14" spans="1:18">
      <c r="A14" s="55" t="s">
        <v>31</v>
      </c>
      <c r="B14" s="56">
        <f t="shared" ref="B14:E15" si="4">+B10/B6-1</f>
        <v>1.0878048780487806</v>
      </c>
      <c r="C14" s="56">
        <f t="shared" si="4"/>
        <v>0.40838852097130252</v>
      </c>
      <c r="D14" s="56">
        <f t="shared" si="4"/>
        <v>0.27215474583895638</v>
      </c>
      <c r="E14" s="56">
        <f t="shared" si="4"/>
        <v>-3.1206657420249639E-3</v>
      </c>
      <c r="F14" s="56">
        <f t="shared" ref="F14:G14" si="5">+F10/F6-1</f>
        <v>0.15153560580492753</v>
      </c>
      <c r="G14" s="56">
        <f t="shared" si="5"/>
        <v>0.13799157303370779</v>
      </c>
      <c r="H14" s="56">
        <f t="shared" ref="H14" si="6">+H10/H6-1</f>
        <v>0.12051176227816751</v>
      </c>
      <c r="I14" s="56"/>
      <c r="J14" s="56"/>
      <c r="K14" s="56"/>
      <c r="L14" s="56"/>
      <c r="M14" s="56"/>
      <c r="N14" s="56">
        <f ca="1">+N10/SUM(OFFSET(B6,,,,COUNTA(B10:M10)))-1</f>
        <v>0.17370539673875962</v>
      </c>
      <c r="R14" s="31"/>
    </row>
    <row r="15" spans="1:18">
      <c r="A15" s="55" t="s">
        <v>34</v>
      </c>
      <c r="B15" s="56">
        <f t="shared" si="4"/>
        <v>4.1590660342940566E-2</v>
      </c>
      <c r="C15" s="56">
        <f t="shared" si="4"/>
        <v>0.13901345291479816</v>
      </c>
      <c r="D15" s="56">
        <f t="shared" si="4"/>
        <v>-5.5837563451776595E-2</v>
      </c>
      <c r="E15" s="56">
        <f t="shared" si="4"/>
        <v>-0.10214059196617331</v>
      </c>
      <c r="F15" s="56">
        <f t="shared" ref="F15:G15" si="7">+F11/F7-1</f>
        <v>1.5426621160409493E-2</v>
      </c>
      <c r="G15" s="56">
        <f t="shared" si="7"/>
        <v>-3.0440148087206964E-2</v>
      </c>
      <c r="H15" s="56">
        <f t="shared" ref="H15" si="8">+H11/H7-1</f>
        <v>1.0146041506533532E-2</v>
      </c>
      <c r="I15" s="56"/>
      <c r="J15" s="56"/>
      <c r="K15" s="56"/>
      <c r="L15" s="56"/>
      <c r="M15" s="56"/>
      <c r="N15" s="56">
        <f ca="1">+N11/SUM(OFFSET(B7,,,,COUNTA(B10:M10)))-1</f>
        <v>-1.5118584155341619E-2</v>
      </c>
      <c r="R15" s="31"/>
    </row>
    <row r="16" spans="1:18">
      <c r="A16" s="55" t="s">
        <v>25</v>
      </c>
      <c r="B16" s="56">
        <f>+B10/B12</f>
        <v>0.23066558879008353</v>
      </c>
      <c r="C16" s="56">
        <f>+C10/C12</f>
        <v>0.25088478175383405</v>
      </c>
      <c r="D16" s="56">
        <f>+D10/D12</f>
        <v>0.29693406131877365</v>
      </c>
      <c r="E16" s="56">
        <f>+E10/E12</f>
        <v>0.29731127197518098</v>
      </c>
      <c r="F16" s="56">
        <f t="shared" ref="F16:G16" si="9">+F10/F12</f>
        <v>0.31447004608294932</v>
      </c>
      <c r="G16" s="56">
        <f t="shared" si="9"/>
        <v>0.31429402637703646</v>
      </c>
      <c r="H16" s="56">
        <f t="shared" ref="H16" si="10">+H10/H12</f>
        <v>0.29237561921171656</v>
      </c>
      <c r="I16" s="56"/>
      <c r="J16" s="56"/>
      <c r="K16" s="56"/>
      <c r="L16" s="56"/>
      <c r="M16" s="56"/>
      <c r="N16" s="56">
        <f>+N10/N12</f>
        <v>0.29437533154229195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5" t="s">
        <v>3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89</v>
      </c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4"/>
      <c r="O20" s="9"/>
      <c r="R20" s="31"/>
    </row>
    <row r="21" spans="1:18">
      <c r="A21" s="124" t="s">
        <v>93</v>
      </c>
      <c r="B21" s="75">
        <f>'R_PTW NEW 2022vs2021'!U4</f>
        <v>301</v>
      </c>
      <c r="C21" s="75">
        <f>'R_PTW NEW 2022vs2021'!V4</f>
        <v>401</v>
      </c>
      <c r="D21" s="75">
        <f>'R_PTW NEW 2022vs2021'!W4</f>
        <v>902</v>
      </c>
      <c r="E21" s="75">
        <f>'R_PTW NEW 2022vs2021'!X4</f>
        <v>1140</v>
      </c>
      <c r="F21" s="75">
        <f>'R_PTW NEW 2022vs2021'!Y4</f>
        <v>1457</v>
      </c>
      <c r="G21" s="75">
        <f>'R_PTW NEW 2022vs2021'!Z4</f>
        <v>1691</v>
      </c>
      <c r="H21" s="75">
        <f>'R_PTW NEW 2022vs2021'!AA4</f>
        <v>1693</v>
      </c>
      <c r="I21" s="75">
        <f>'R_PTW NEW 2022vs2021'!AB4</f>
        <v>1475</v>
      </c>
      <c r="J21" s="75">
        <f>'R_PTW NEW 2022vs2021'!AC4</f>
        <v>1097</v>
      </c>
      <c r="K21" s="75">
        <f>'R_PTW NEW 2022vs2021'!AD4</f>
        <v>849</v>
      </c>
      <c r="L21" s="75">
        <f>'R_PTW NEW 2022vs2021'!AE4</f>
        <v>671</v>
      </c>
      <c r="M21" s="75">
        <f>'R_PTW NEW 2022vs2021'!AF4</f>
        <v>1033</v>
      </c>
      <c r="N21" s="49">
        <f>SUM(B21:M21)</f>
        <v>12710</v>
      </c>
      <c r="O21" s="9"/>
      <c r="R21" s="31"/>
    </row>
    <row r="22" spans="1:18">
      <c r="A22" s="124" t="s">
        <v>94</v>
      </c>
      <c r="B22" s="49">
        <f>'R_PTW USED 2022vs2021'!U4</f>
        <v>490</v>
      </c>
      <c r="C22" s="49">
        <f>'R_PTW USED 2022vs2021'!V4</f>
        <v>468</v>
      </c>
      <c r="D22" s="49">
        <f>'R_PTW USED 2022vs2021'!W4</f>
        <v>882</v>
      </c>
      <c r="E22" s="49">
        <f>'R_PTW USED 2022vs2021'!X4</f>
        <v>1052</v>
      </c>
      <c r="F22" s="49">
        <f>'R_PTW USED 2022vs2021'!Y4</f>
        <v>1225</v>
      </c>
      <c r="G22" s="49">
        <f>'R_PTW USED 2022vs2021'!Z4</f>
        <v>1197</v>
      </c>
      <c r="H22" s="49">
        <f>'R_PTW USED 2022vs2021'!AA4</f>
        <v>1305</v>
      </c>
      <c r="I22" s="49">
        <f>'R_PTW USED 2022vs2021'!AB4</f>
        <v>1140</v>
      </c>
      <c r="J22" s="49">
        <f>'R_PTW USED 2022vs2021'!AC4</f>
        <v>870</v>
      </c>
      <c r="K22" s="49">
        <f>'R_PTW USED 2022vs2021'!AD4</f>
        <v>626</v>
      </c>
      <c r="L22" s="49">
        <f>'R_PTW USED 2022vs2021'!AE4</f>
        <v>539</v>
      </c>
      <c r="M22" s="49">
        <f>'R_PTW USED 2022vs2021'!AF4</f>
        <v>520</v>
      </c>
      <c r="N22" s="49">
        <f>SUM(B22:M22)</f>
        <v>10314</v>
      </c>
      <c r="O22" s="9"/>
      <c r="R22" s="31"/>
    </row>
    <row r="23" spans="1:18">
      <c r="A23" s="52" t="s">
        <v>95</v>
      </c>
      <c r="B23" s="52">
        <f>B22+B21</f>
        <v>791</v>
      </c>
      <c r="C23" s="52">
        <f t="shared" ref="C23:M23" si="11">C22+C21</f>
        <v>869</v>
      </c>
      <c r="D23" s="52">
        <f t="shared" si="11"/>
        <v>1784</v>
      </c>
      <c r="E23" s="52">
        <f t="shared" si="11"/>
        <v>2192</v>
      </c>
      <c r="F23" s="52">
        <f t="shared" si="11"/>
        <v>2682</v>
      </c>
      <c r="G23" s="52">
        <f t="shared" si="11"/>
        <v>2888</v>
      </c>
      <c r="H23" s="52">
        <f t="shared" si="11"/>
        <v>2998</v>
      </c>
      <c r="I23" s="52">
        <f t="shared" si="11"/>
        <v>2615</v>
      </c>
      <c r="J23" s="52">
        <f t="shared" si="11"/>
        <v>1967</v>
      </c>
      <c r="K23" s="52">
        <f t="shared" si="11"/>
        <v>1475</v>
      </c>
      <c r="L23" s="52">
        <f t="shared" si="11"/>
        <v>1210</v>
      </c>
      <c r="M23" s="52">
        <f t="shared" si="11"/>
        <v>1553</v>
      </c>
      <c r="N23" s="52">
        <f>SUM(B23:M23)</f>
        <v>23024</v>
      </c>
      <c r="O23" s="9"/>
      <c r="R23" s="31"/>
    </row>
    <row r="24" spans="1:18">
      <c r="A24" s="124" t="s">
        <v>122</v>
      </c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4"/>
      <c r="O24" s="9"/>
      <c r="R24" s="31"/>
    </row>
    <row r="25" spans="1:18">
      <c r="A25" s="124" t="s">
        <v>126</v>
      </c>
      <c r="B25" s="53">
        <f>'R_PTW NEW 2022vs2021'!B4</f>
        <v>355</v>
      </c>
      <c r="C25" s="53">
        <f>'R_PTW NEW 2022vs2021'!C4</f>
        <v>496</v>
      </c>
      <c r="D25" s="53">
        <f>'R_PTW NEW 2022vs2021'!D4</f>
        <v>1041</v>
      </c>
      <c r="E25" s="53">
        <f>'R_PTW NEW 2022vs2021'!E4</f>
        <v>1207</v>
      </c>
      <c r="F25" s="53">
        <f>'R_PTW NEW 2022vs2021'!F4</f>
        <v>1469</v>
      </c>
      <c r="G25" s="53">
        <f>'R_PTW NEW 2022vs2021'!G4</f>
        <v>1513</v>
      </c>
      <c r="H25" s="53">
        <f>'R_PTW NEW 2022vs2021'!H4</f>
        <v>1390</v>
      </c>
      <c r="I25" s="53"/>
      <c r="J25" s="53"/>
      <c r="K25" s="53"/>
      <c r="L25" s="53"/>
      <c r="M25" s="53"/>
      <c r="N25" s="53">
        <f>SUM(B25:M25)</f>
        <v>7471</v>
      </c>
      <c r="O25" s="9"/>
      <c r="R25" s="31"/>
    </row>
    <row r="26" spans="1:18" s="15" customFormat="1">
      <c r="A26" s="124" t="s">
        <v>127</v>
      </c>
      <c r="B26" s="49">
        <f>'R_PTW USED 2022vs2021'!B4</f>
        <v>491</v>
      </c>
      <c r="C26" s="49">
        <f>'R_PTW USED 2022vs2021'!C4</f>
        <v>640</v>
      </c>
      <c r="D26" s="49">
        <f>'R_PTW USED 2022vs2021'!D4</f>
        <v>1199</v>
      </c>
      <c r="E26" s="49">
        <f>'R_PTW USED 2022vs2021'!E4</f>
        <v>1168</v>
      </c>
      <c r="F26" s="49">
        <f>'R_PTW USED 2022vs2021'!F4</f>
        <v>1356</v>
      </c>
      <c r="G26" s="49">
        <f>'R_PTW USED 2022vs2021'!G4</f>
        <v>1429</v>
      </c>
      <c r="H26" s="49">
        <f>'R_PTW USED 2022vs2021'!H4</f>
        <v>1367</v>
      </c>
      <c r="I26" s="49"/>
      <c r="J26" s="49"/>
      <c r="K26" s="49"/>
      <c r="L26" s="49"/>
      <c r="M26" s="49"/>
      <c r="N26" s="49">
        <f>SUM(B26:M26)</f>
        <v>7650</v>
      </c>
      <c r="O26" s="14"/>
      <c r="R26" s="31"/>
    </row>
    <row r="27" spans="1:18">
      <c r="A27" s="52" t="s">
        <v>128</v>
      </c>
      <c r="B27" s="54">
        <f>B26+B25</f>
        <v>846</v>
      </c>
      <c r="C27" s="54">
        <f>C26+C25</f>
        <v>1136</v>
      </c>
      <c r="D27" s="54">
        <f>D26+D25</f>
        <v>2240</v>
      </c>
      <c r="E27" s="54">
        <f>E26+E25</f>
        <v>2375</v>
      </c>
      <c r="F27" s="54">
        <f t="shared" ref="F27:G27" si="12">F26+F25</f>
        <v>2825</v>
      </c>
      <c r="G27" s="54">
        <f t="shared" si="12"/>
        <v>2942</v>
      </c>
      <c r="H27" s="54">
        <f t="shared" ref="H27" si="13">H26+H25</f>
        <v>2757</v>
      </c>
      <c r="I27" s="54"/>
      <c r="J27" s="54"/>
      <c r="K27" s="54"/>
      <c r="L27" s="54"/>
      <c r="M27" s="54"/>
      <c r="N27" s="54">
        <f>SUM(B27:M27)</f>
        <v>15121</v>
      </c>
      <c r="O27" s="11"/>
    </row>
    <row r="28" spans="1:18">
      <c r="A28" s="55" t="s">
        <v>33</v>
      </c>
      <c r="B28" s="56">
        <f>+B27/B23-1</f>
        <v>6.9532237673830544E-2</v>
      </c>
      <c r="C28" s="56">
        <f>+C27/C23-1</f>
        <v>0.30724971231300335</v>
      </c>
      <c r="D28" s="56">
        <f>+D27/D23-1</f>
        <v>0.25560538116591935</v>
      </c>
      <c r="E28" s="56">
        <f>+E27/E23-1</f>
        <v>8.3485401459854058E-2</v>
      </c>
      <c r="F28" s="56">
        <f t="shared" ref="F28:G28" si="14">+F27/F23-1</f>
        <v>5.3318419090231162E-2</v>
      </c>
      <c r="G28" s="56">
        <f t="shared" si="14"/>
        <v>1.8698060941828354E-2</v>
      </c>
      <c r="H28" s="56">
        <f t="shared" ref="H28" si="15">+H27/H23-1</f>
        <v>-8.0386924616410949E-2</v>
      </c>
      <c r="I28" s="56"/>
      <c r="J28" s="56"/>
      <c r="K28" s="56"/>
      <c r="L28" s="56"/>
      <c r="M28" s="56"/>
      <c r="N28" s="56">
        <f ca="1">+N27/SUM(OFFSET(B23,,,,COUNTA(B25:M25)))-1</f>
        <v>6.4559279076316534E-2</v>
      </c>
      <c r="O28" s="11"/>
    </row>
    <row r="29" spans="1:18">
      <c r="A29" s="55" t="s">
        <v>31</v>
      </c>
      <c r="B29" s="56">
        <f t="shared" ref="B29:E30" si="16">+B25/B21-1</f>
        <v>0.17940199335548179</v>
      </c>
      <c r="C29" s="56">
        <f t="shared" si="16"/>
        <v>0.23690773067331672</v>
      </c>
      <c r="D29" s="56">
        <f t="shared" si="16"/>
        <v>0.15410199556541015</v>
      </c>
      <c r="E29" s="56">
        <f t="shared" si="16"/>
        <v>5.8771929824561475E-2</v>
      </c>
      <c r="F29" s="56">
        <f t="shared" ref="F29:G29" si="17">+F25/F21-1</f>
        <v>8.2361015785861191E-3</v>
      </c>
      <c r="G29" s="56">
        <f t="shared" si="17"/>
        <v>-0.10526315789473684</v>
      </c>
      <c r="H29" s="56">
        <f t="shared" ref="H29" si="18">+H25/H21-1</f>
        <v>-0.1789722386296515</v>
      </c>
      <c r="I29" s="56"/>
      <c r="J29" s="56"/>
      <c r="K29" s="56"/>
      <c r="L29" s="56"/>
      <c r="M29" s="56"/>
      <c r="N29" s="56">
        <f ca="1">+N25/SUM(OFFSET(B21,,,,COUNTA(B25:M25)))-1</f>
        <v>-1.5029663810151583E-2</v>
      </c>
      <c r="O29" s="11"/>
    </row>
    <row r="30" spans="1:18">
      <c r="A30" s="55" t="s">
        <v>34</v>
      </c>
      <c r="B30" s="56">
        <f t="shared" si="16"/>
        <v>2.0408163265306367E-3</v>
      </c>
      <c r="C30" s="56">
        <f t="shared" si="16"/>
        <v>0.36752136752136755</v>
      </c>
      <c r="D30" s="56">
        <f t="shared" si="16"/>
        <v>0.35941043083900226</v>
      </c>
      <c r="E30" s="56">
        <f t="shared" si="16"/>
        <v>0.11026615969581743</v>
      </c>
      <c r="F30" s="56">
        <f t="shared" ref="F30:G30" si="19">+F26/F22-1</f>
        <v>0.10693877551020403</v>
      </c>
      <c r="G30" s="56">
        <f t="shared" si="19"/>
        <v>0.19381787802840433</v>
      </c>
      <c r="H30" s="56">
        <f t="shared" ref="H30" si="20">+H26/H22-1</f>
        <v>4.7509578544061348E-2</v>
      </c>
      <c r="I30" s="56"/>
      <c r="J30" s="56"/>
      <c r="K30" s="56"/>
      <c r="L30" s="56"/>
      <c r="M30" s="56"/>
      <c r="N30" s="56">
        <f ca="1">+N26/SUM(OFFSET(B22,,,,COUNTA(B25:M25)))-1</f>
        <v>0.15576371053029159</v>
      </c>
      <c r="O30" s="11"/>
    </row>
    <row r="31" spans="1:18">
      <c r="A31" s="55" t="s">
        <v>26</v>
      </c>
      <c r="B31" s="56">
        <f>+B25/B27</f>
        <v>0.41962174940898345</v>
      </c>
      <c r="C31" s="56">
        <f>+C25/C27</f>
        <v>0.43661971830985913</v>
      </c>
      <c r="D31" s="56">
        <f>+D25/D27</f>
        <v>0.46473214285714287</v>
      </c>
      <c r="E31" s="56">
        <f>+E25/E27</f>
        <v>0.50821052631578945</v>
      </c>
      <c r="F31" s="56">
        <f t="shared" ref="F31:G31" si="21">+F25/F27</f>
        <v>0.52</v>
      </c>
      <c r="G31" s="56">
        <f t="shared" si="21"/>
        <v>0.51427600271923857</v>
      </c>
      <c r="H31" s="56">
        <f t="shared" ref="H31" si="22">+H25/H27</f>
        <v>0.50417120058034093</v>
      </c>
      <c r="I31" s="56"/>
      <c r="J31" s="56"/>
      <c r="K31" s="56"/>
      <c r="L31" s="56"/>
      <c r="M31" s="56"/>
      <c r="N31" s="56">
        <f>+N25/N27</f>
        <v>0.49408107929369749</v>
      </c>
    </row>
    <row r="34" spans="1:7" ht="33" customHeight="1">
      <c r="A34" s="187" t="s">
        <v>53</v>
      </c>
      <c r="B34" s="189" t="str">
        <f>'R_PTW 2022vs2021'!B9:C9</f>
        <v>LIPIEC</v>
      </c>
      <c r="C34" s="190"/>
      <c r="D34" s="191" t="s">
        <v>5</v>
      </c>
      <c r="E34" s="193" t="str">
        <f>"ROK NARASTAJĄCO
STYCZEŃ-"&amp;B34</f>
        <v>ROK NARASTAJĄCO
STYCZEŃ-LIPIEC</v>
      </c>
      <c r="F34" s="194"/>
      <c r="G34" s="191" t="s">
        <v>5</v>
      </c>
    </row>
    <row r="35" spans="1:7" ht="16.5" customHeight="1">
      <c r="A35" s="188"/>
      <c r="B35" s="60">
        <v>2022</v>
      </c>
      <c r="C35" s="60">
        <v>2021</v>
      </c>
      <c r="D35" s="192"/>
      <c r="E35" s="60">
        <v>2022</v>
      </c>
      <c r="F35" s="60">
        <v>2021</v>
      </c>
      <c r="G35" s="192"/>
    </row>
    <row r="36" spans="1:7" ht="16.5" customHeight="1">
      <c r="A36" s="16" t="s">
        <v>54</v>
      </c>
      <c r="B36" s="87">
        <f ca="1">OFFSET(A10,,COUNTA(B28:M28),,)</f>
        <v>2715</v>
      </c>
      <c r="C36" s="87">
        <f ca="1">OFFSET(A6,,COUNTA(B28:M28),,)</f>
        <v>2423</v>
      </c>
      <c r="D36" s="74">
        <f ca="1">+B36/C36-1</f>
        <v>0.12051176227816751</v>
      </c>
      <c r="E36" s="87">
        <f>N10</f>
        <v>17203</v>
      </c>
      <c r="F36" s="87">
        <f ca="1">SUM(OFFSET(B6,,,,COUNTA(B28:M28)))</f>
        <v>14657</v>
      </c>
      <c r="G36" s="74">
        <f ca="1">+E36/F36-1</f>
        <v>0.17370539673875962</v>
      </c>
    </row>
    <row r="37" spans="1:7" ht="16.5" customHeight="1">
      <c r="A37" s="16" t="s">
        <v>55</v>
      </c>
      <c r="B37" s="87">
        <f ca="1">OFFSET(A11,,COUNTA(B29:M29),,)</f>
        <v>6571</v>
      </c>
      <c r="C37" s="87">
        <f ca="1">OFFSET(A7,,COUNTA(B29:M29),,)</f>
        <v>6505</v>
      </c>
      <c r="D37" s="74">
        <f ca="1">+B37/C37-1</f>
        <v>1.0146041506533532E-2</v>
      </c>
      <c r="E37" s="87">
        <f>N11</f>
        <v>41236</v>
      </c>
      <c r="F37" s="87">
        <f ca="1">SUM(OFFSET(B7,,,,COUNTA(B29:M29)))</f>
        <v>41869</v>
      </c>
      <c r="G37" s="74">
        <f ca="1">+E37/F37-1</f>
        <v>-1.5118584155341619E-2</v>
      </c>
    </row>
    <row r="38" spans="1:7" ht="16.5" customHeight="1">
      <c r="A38" s="69" t="s">
        <v>18</v>
      </c>
      <c r="B38" s="87">
        <f ca="1">SUM(B36:B37)</f>
        <v>9286</v>
      </c>
      <c r="C38" s="87">
        <f ca="1">SUM(C36:C37)</f>
        <v>8928</v>
      </c>
      <c r="D38" s="74">
        <f ca="1">+B38/C38-1</f>
        <v>4.0098566308243822E-2</v>
      </c>
      <c r="E38" s="87">
        <f>SUM(E36:E37)</f>
        <v>58439</v>
      </c>
      <c r="F38" s="87">
        <f ca="1">SUM(F36:F37)</f>
        <v>56526</v>
      </c>
      <c r="G38" s="74">
        <f ca="1">+E38/F38-1</f>
        <v>3.3842833386406257E-2</v>
      </c>
    </row>
    <row r="41" spans="1:7" ht="33" customHeight="1">
      <c r="A41" s="187" t="s">
        <v>56</v>
      </c>
      <c r="B41" s="189" t="str">
        <f>B34</f>
        <v>LIPIEC</v>
      </c>
      <c r="C41" s="190"/>
      <c r="D41" s="191" t="s">
        <v>5</v>
      </c>
      <c r="E41" s="193" t="str">
        <f>"ROK NARASTAJĄCO
STYCZEŃ-"&amp;B41</f>
        <v>ROK NARASTAJĄCO
STYCZEŃ-LIPIEC</v>
      </c>
      <c r="F41" s="194"/>
      <c r="G41" s="191" t="s">
        <v>5</v>
      </c>
    </row>
    <row r="42" spans="1:7" ht="15.75" customHeight="1">
      <c r="A42" s="188"/>
      <c r="B42" s="60">
        <v>2022</v>
      </c>
      <c r="C42" s="60">
        <v>2021</v>
      </c>
      <c r="D42" s="192"/>
      <c r="E42" s="60">
        <v>2022</v>
      </c>
      <c r="F42" s="60">
        <v>2021</v>
      </c>
      <c r="G42" s="192"/>
    </row>
    <row r="43" spans="1:7" ht="15.75" customHeight="1">
      <c r="A43" s="91" t="s">
        <v>54</v>
      </c>
      <c r="B43" s="87">
        <f ca="1">OFFSET(A25,,COUNTA(B28:M28),,)</f>
        <v>1390</v>
      </c>
      <c r="C43" s="87">
        <f ca="1">OFFSET(A21,,COUNTA(B28:M28),,)</f>
        <v>1693</v>
      </c>
      <c r="D43" s="74">
        <f ca="1">+B43/C43-1</f>
        <v>-0.1789722386296515</v>
      </c>
      <c r="E43" s="87">
        <f>N25</f>
        <v>7471</v>
      </c>
      <c r="F43" s="87">
        <f ca="1">SUM(OFFSET(B21,,,,COUNTA(B28:M28)))</f>
        <v>7585</v>
      </c>
      <c r="G43" s="74">
        <f ca="1">+E43/F43-1</f>
        <v>-1.5029663810151583E-2</v>
      </c>
    </row>
    <row r="44" spans="1:7" ht="15.75" customHeight="1">
      <c r="A44" s="91" t="s">
        <v>55</v>
      </c>
      <c r="B44" s="87">
        <f ca="1">OFFSET(A26,,COUNTA(B29:M29),,)</f>
        <v>1367</v>
      </c>
      <c r="C44" s="87">
        <f ca="1">OFFSET(A22,,COUNTA(B29:M29),,)</f>
        <v>1305</v>
      </c>
      <c r="D44" s="74">
        <f ca="1">+B44/C44-1</f>
        <v>4.7509578544061348E-2</v>
      </c>
      <c r="E44" s="87">
        <f>N26</f>
        <v>7650</v>
      </c>
      <c r="F44" s="87">
        <f ca="1">SUM(OFFSET(B22,,,,COUNTA(B29:M29)))</f>
        <v>6619</v>
      </c>
      <c r="G44" s="74">
        <f ca="1">+E44/F44-1</f>
        <v>0.15576371053029159</v>
      </c>
    </row>
    <row r="45" spans="1:7" ht="15.75" customHeight="1">
      <c r="A45" s="92" t="s">
        <v>18</v>
      </c>
      <c r="B45" s="87">
        <f ca="1">SUM(B43:B44)</f>
        <v>2757</v>
      </c>
      <c r="C45" s="87">
        <f ca="1">SUM(C43:C44)</f>
        <v>2998</v>
      </c>
      <c r="D45" s="74">
        <f ca="1">+B45/C45-1</f>
        <v>-8.0386924616410949E-2</v>
      </c>
      <c r="E45" s="87">
        <f>SUM(E43:E44)</f>
        <v>15121</v>
      </c>
      <c r="F45" s="87">
        <f ca="1">SUM(F43:F44)</f>
        <v>14204</v>
      </c>
      <c r="G45" s="74">
        <f ca="1">+E45/F45-1</f>
        <v>6.4559279076316534E-2</v>
      </c>
    </row>
    <row r="49" spans="1:14">
      <c r="A49" s="8" t="s">
        <v>102</v>
      </c>
    </row>
    <row r="52" spans="1:14" ht="43.5" customHeight="1">
      <c r="A52" s="236" t="s">
        <v>76</v>
      </c>
      <c r="B52" s="236"/>
      <c r="C52" s="236"/>
      <c r="D52" s="236"/>
      <c r="E52" s="236"/>
      <c r="F52" s="236"/>
      <c r="G52" s="236"/>
      <c r="H52" s="236"/>
      <c r="I52" s="236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7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2022-08-04T08:19:00Z</dcterms:modified>
</cp:coreProperties>
</file>